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1955" windowHeight="2115" activeTab="0"/>
  </bookViews>
  <sheets>
    <sheet name="WAVES" sheetId="1" r:id="rId1"/>
    <sheet name="MODES" sheetId="2" r:id="rId2"/>
  </sheets>
  <definedNames>
    <definedName name="a">#REF!</definedName>
    <definedName name="b">#REF!</definedName>
    <definedName name="d">#REF!</definedName>
    <definedName name="e">#REF!</definedName>
    <definedName name="h">#REF!</definedName>
    <definedName name="l">#REF!</definedName>
    <definedName name="_xlnm.Print_Area" localSheetId="1">'MODES'!$A$1:$M$28</definedName>
    <definedName name="_xlnm.Print_Area" localSheetId="0">'WAVES'!$B$2:$I$37</definedName>
    <definedName name="w">#REF!</definedName>
  </definedNames>
  <calcPr fullCalcOnLoad="1"/>
</workbook>
</file>

<file path=xl/sharedStrings.xml><?xml version="1.0" encoding="utf-8"?>
<sst xmlns="http://schemas.openxmlformats.org/spreadsheetml/2006/main" count="71" uniqueCount="64">
  <si>
    <t>1st</t>
  </si>
  <si>
    <t>2nd</t>
  </si>
  <si>
    <t>3rd</t>
  </si>
  <si>
    <t>4th</t>
  </si>
  <si>
    <t>Height:</t>
  </si>
  <si>
    <t>Width:</t>
  </si>
  <si>
    <t>Length:</t>
  </si>
  <si>
    <t>Room volume =</t>
  </si>
  <si>
    <t>0 ft.</t>
  </si>
  <si>
    <t>LENGTH</t>
  </si>
  <si>
    <t>WIDTH</t>
  </si>
  <si>
    <t>HEIGHT</t>
  </si>
  <si>
    <t>Cubic feet</t>
  </si>
  <si>
    <t>Enter room dimensions:</t>
  </si>
  <si>
    <t>Axial Standing Waves</t>
  </si>
  <si>
    <t>Speed of sound:</t>
  </si>
  <si>
    <t>1. Enter the room dimensions in the upper left</t>
  </si>
  <si>
    <t>2. Notice that for each room dimension there are two</t>
  </si>
  <si>
    <t>3. The table to the right of the entry fields shows the</t>
  </si>
  <si>
    <t xml:space="preserve">     frequencies at which the first four axial modes will occur.</t>
  </si>
  <si>
    <t>4. If desired, you may also change the speed of sound, directly</t>
  </si>
  <si>
    <t>5. The points at which the calculated modes will occur are</t>
  </si>
  <si>
    <t>6. The volume of the room is also calculated. It is displayed</t>
  </si>
  <si>
    <t xml:space="preserve">     indicated in the three "graphical" displays below. This is</t>
  </si>
  <si>
    <t xml:space="preserve">     rounded to the nearest 1/4 foot.</t>
  </si>
  <si>
    <t xml:space="preserve">     just below the speed of sound entry field.</t>
  </si>
  <si>
    <t xml:space="preserve">     very different from normal, this could be helpful.</t>
  </si>
  <si>
    <t xml:space="preserve">     location where the temperature or barometric pressure is</t>
  </si>
  <si>
    <t xml:space="preserve">     needed. However, if you are working at high altitude or in a</t>
  </si>
  <si>
    <t xml:space="preserve">     below the dimension input fields. This is not normally</t>
  </si>
  <si>
    <t xml:space="preserve">     field to another.</t>
  </si>
  <si>
    <t xml:space="preserve">     Alternately, you may use the arrow keys to move from one</t>
  </si>
  <si>
    <t xml:space="preserve">     feet, use the [TAB] key to advance to the inches entry field.</t>
  </si>
  <si>
    <t xml:space="preserve">     entry fields: one for feet, another for inches. After entering</t>
  </si>
  <si>
    <t>Room Mode Calculator</t>
  </si>
  <si>
    <t>by: Allan Devantier</t>
  </si>
  <si>
    <t>dimensions</t>
  </si>
  <si>
    <t xml:space="preserve">length </t>
  </si>
  <si>
    <t>width</t>
  </si>
  <si>
    <t>height</t>
  </si>
  <si>
    <t>Cubic</t>
  </si>
  <si>
    <t>Volume</t>
  </si>
  <si>
    <t>feet</t>
  </si>
  <si>
    <t>meters</t>
  </si>
  <si>
    <t>cubic</t>
  </si>
  <si>
    <t>inches</t>
  </si>
  <si>
    <t>all</t>
  </si>
  <si>
    <t>oblique</t>
  </si>
  <si>
    <t>tan &amp; axial</t>
  </si>
  <si>
    <t>tangential</t>
  </si>
  <si>
    <t>axial</t>
  </si>
  <si>
    <t>length</t>
  </si>
  <si>
    <t>Default = 1130.0 (344M sec.)</t>
  </si>
  <si>
    <t>Feet per second</t>
  </si>
  <si>
    <t>Version 4.1</t>
  </si>
  <si>
    <t>REMEMBER - the room is the final audio component.</t>
  </si>
  <si>
    <t xml:space="preserve">Floyd Toole, Vice President Acoustical Engineering, </t>
  </si>
  <si>
    <t xml:space="preserve">Harman International Industries, 8500 Balboa Blvd. </t>
  </si>
  <si>
    <t>Only YOU can make it truly work!</t>
  </si>
  <si>
    <t>By Dan Siefert</t>
  </si>
  <si>
    <t>Using WAVES and MODES:</t>
  </si>
  <si>
    <t xml:space="preserve">    The numbers will automatically be entered in MODES.</t>
  </si>
  <si>
    <r>
      <t xml:space="preserve">     corner of the WAVES worksheet. All entry fields are in </t>
    </r>
    <r>
      <rPr>
        <i/>
        <sz val="10"/>
        <rFont val="MS Sans Serif"/>
        <family val="2"/>
      </rPr>
      <t>italics</t>
    </r>
    <r>
      <rPr>
        <sz val="10"/>
        <rFont val="MS Sans Serif"/>
        <family val="0"/>
      </rPr>
      <t>.</t>
    </r>
  </si>
  <si>
    <t>Northridge, CA 91329.  818 893 8411  ftoole@harman.com</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</si>
</sst>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f\t"/>
    <numFmt numFmtId="165" formatCode="0&quot;Hz&quot;"/>
    <numFmt numFmtId="166" formatCode="0&quot;CU ft&quot;"/>
    <numFmt numFmtId="167" formatCode="0.0&quot;ft&quot;"/>
    <numFmt numFmtId="168" formatCode="0.00&quot;ft&quot;"/>
    <numFmt numFmtId="169" formatCode="#,##0&quot;CU ft&quot;"/>
    <numFmt numFmtId="170" formatCode="#\ ?/4"/>
    <numFmt numFmtId="171" formatCode="0\(\1/4\)\f\t"/>
    <numFmt numFmtId="172" formatCode="0\ \1/4\f\t"/>
    <numFmt numFmtId="173" formatCode="0.\1/4\f\t"/>
    <numFmt numFmtId="174" formatCode="0&quot;ft&quot;"/>
    <numFmt numFmtId="175" formatCode="0&quot;in.&quot;"/>
    <numFmt numFmtId="176" formatCode="0&quot;in&quot;"/>
    <numFmt numFmtId="177" formatCode="&quot;-&quot;0&quot;in&quot;"/>
    <numFmt numFmtId="178" formatCode="#\ ?/2"/>
    <numFmt numFmtId="179" formatCode="0&quot; ft&quot;"/>
    <numFmt numFmtId="180" formatCode="&quot;-&quot;0&quot; in&quot;"/>
    <numFmt numFmtId="181" formatCode="0.0"/>
    <numFmt numFmtId="182" formatCode="&quot;$&quot;#,##0;&quot;-&quot;&quot;$&quot;#,##0"/>
    <numFmt numFmtId="183" formatCode="&quot;$&quot;#,##0;[Red]&quot;-&quot;&quot;$&quot;#,##0"/>
    <numFmt numFmtId="184" formatCode="&quot;$&quot;#,##0.00;&quot;-&quot;&quot;$&quot;#,##0.00"/>
    <numFmt numFmtId="185" formatCode="&quot;$&quot;#,##0.00;[Red]&quot;-&quot;&quot;$&quot;#,##0.00"/>
    <numFmt numFmtId="186" formatCode="0.000"/>
    <numFmt numFmtId="187" formatCode="0\(\1/4\)&quot;ft&quot;"/>
  </numFmts>
  <fonts count="16">
    <font>
      <sz val="10"/>
      <name val="MS Sans Serif"/>
      <family val="0"/>
    </font>
    <font>
      <b/>
      <sz val="10"/>
      <name val="MS Sans Serif"/>
      <family val="0"/>
    </font>
    <font>
      <i/>
      <sz val="10"/>
      <name val="MS Sans Serif"/>
      <family val="0"/>
    </font>
    <font>
      <b/>
      <i/>
      <sz val="10"/>
      <name val="MS Sans Serif"/>
      <family val="0"/>
    </font>
    <font>
      <sz val="8"/>
      <name val="MS Sans Serif"/>
      <family val="0"/>
    </font>
    <font>
      <b/>
      <sz val="10"/>
      <color indexed="12"/>
      <name val="MS Sans Serif"/>
      <family val="0"/>
    </font>
    <font>
      <b/>
      <sz val="10"/>
      <color indexed="10"/>
      <name val="MS Sans Serif"/>
      <family val="2"/>
    </font>
    <font>
      <b/>
      <sz val="10"/>
      <color indexed="8"/>
      <name val="MS Sans Serif"/>
      <family val="2"/>
    </font>
    <font>
      <sz val="10"/>
      <color indexed="8"/>
      <name val="MS Sans Serif"/>
      <family val="2"/>
    </font>
    <font>
      <sz val="10"/>
      <color indexed="12"/>
      <name val="MS Sans Serif"/>
      <family val="2"/>
    </font>
    <font>
      <sz val="10"/>
      <color indexed="11"/>
      <name val="MS Sans Serif"/>
      <family val="2"/>
    </font>
    <font>
      <sz val="10"/>
      <color indexed="10"/>
      <name val="MS Sans Serif"/>
      <family val="2"/>
    </font>
    <font>
      <b/>
      <sz val="12"/>
      <name val="MS Sans Serif"/>
      <family val="0"/>
    </font>
    <font>
      <b/>
      <sz val="10"/>
      <color indexed="13"/>
      <name val="MS Sans Serif"/>
      <family val="2"/>
    </font>
    <font>
      <sz val="12"/>
      <name val="MS Sans Serif"/>
      <family val="2"/>
    </font>
    <font>
      <sz val="10"/>
      <color indexed="13"/>
      <name val="MS Sans Serif"/>
      <family val="2"/>
    </font>
  </fonts>
  <fills count="3">
    <fill>
      <patternFill/>
    </fill>
    <fill>
      <patternFill patternType="gray125"/>
    </fill>
    <fill>
      <patternFill patternType="solid">
        <fgColor indexed="22"/>
        <bgColor indexed="64"/>
      </patternFill>
    </fill>
  </fills>
  <borders count="52">
    <border>
      <left/>
      <right/>
      <top/>
      <bottom/>
      <diagonal/>
    </border>
    <border>
      <left>
        <color indexed="63"/>
      </left>
      <right>
        <color indexed="63"/>
      </right>
      <top style="hair"/>
      <bottom style="hair"/>
    </border>
    <border>
      <left>
        <color indexed="63"/>
      </left>
      <right>
        <color indexed="63"/>
      </right>
      <top style="hair"/>
      <bottom style="medium"/>
    </border>
    <border>
      <left>
        <color indexed="63"/>
      </left>
      <right>
        <color indexed="63"/>
      </right>
      <top>
        <color indexed="63"/>
      </top>
      <bottom style="hair"/>
    </border>
    <border>
      <left style="double"/>
      <right style="double"/>
      <top style="double"/>
      <bottom>
        <color indexed="63"/>
      </bottom>
    </border>
    <border>
      <left style="double"/>
      <right style="double"/>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hair"/>
      <top style="medium"/>
      <bottom>
        <color indexed="63"/>
      </bottom>
    </border>
    <border>
      <left style="double"/>
      <right>
        <color indexed="63"/>
      </right>
      <top>
        <color indexed="63"/>
      </top>
      <bottom style="thin"/>
    </border>
    <border>
      <left>
        <color indexed="63"/>
      </left>
      <right style="medium"/>
      <top>
        <color indexed="63"/>
      </top>
      <bottom style="hair"/>
    </border>
    <border>
      <left>
        <color indexed="63"/>
      </left>
      <right style="hair"/>
      <top style="hair"/>
      <bottom style="hair"/>
    </border>
    <border>
      <left style="hair"/>
      <right style="hair"/>
      <top style="hair"/>
      <bottom style="hair"/>
    </border>
    <border>
      <left style="double"/>
      <right>
        <color indexed="63"/>
      </right>
      <top style="thin"/>
      <bottom style="thin"/>
    </border>
    <border>
      <left>
        <color indexed="63"/>
      </left>
      <right style="medium"/>
      <top style="hair"/>
      <bottom style="hair"/>
    </border>
    <border>
      <left style="double"/>
      <right>
        <color indexed="63"/>
      </right>
      <top style="thin"/>
      <bottom style="medium"/>
    </border>
    <border>
      <left>
        <color indexed="63"/>
      </left>
      <right style="medium"/>
      <top style="hair"/>
      <bottom style="medium"/>
    </border>
    <border>
      <left>
        <color indexed="63"/>
      </left>
      <right style="hair"/>
      <top style="hair"/>
      <bottom style="medium"/>
    </border>
    <border>
      <left style="hair"/>
      <right style="hair"/>
      <top style="hair"/>
      <bottom style="mediu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hair"/>
      <bottom style="hair"/>
    </border>
    <border>
      <left>
        <color indexed="63"/>
      </left>
      <right style="double"/>
      <top style="hair"/>
      <bottom style="hair"/>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color indexed="63"/>
      </left>
      <right>
        <color indexed="63"/>
      </right>
      <top>
        <color indexed="63"/>
      </top>
      <bottom style="double"/>
    </border>
    <border>
      <left>
        <color indexed="63"/>
      </left>
      <right style="double"/>
      <top>
        <color indexed="63"/>
      </top>
      <bottom style="double"/>
    </border>
    <border>
      <left style="hair"/>
      <right style="double"/>
      <top style="medium"/>
      <bottom style="hair"/>
    </border>
    <border>
      <left style="hair"/>
      <right style="double"/>
      <top style="hair"/>
      <bottom style="hair"/>
    </border>
    <border>
      <left style="hair"/>
      <right style="double"/>
      <top style="hair"/>
      <bottom style="medium"/>
    </border>
    <border>
      <left style="double"/>
      <right style="double"/>
      <top>
        <color indexed="63"/>
      </top>
      <bottom style="double"/>
    </border>
    <border>
      <left style="double"/>
      <right>
        <color indexed="63"/>
      </right>
      <top>
        <color indexed="63"/>
      </top>
      <bottom style="double"/>
    </border>
    <border>
      <left style="hair"/>
      <right style="hair"/>
      <top style="medium"/>
      <bottom>
        <color indexed="63"/>
      </bottom>
    </border>
    <border>
      <left style="double"/>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medium"/>
      <bottom style="hair"/>
    </border>
    <border>
      <left>
        <color indexed="63"/>
      </left>
      <right>
        <color indexed="63"/>
      </right>
      <top style="medium"/>
      <bottom style="hair"/>
    </border>
    <border>
      <left>
        <color indexed="63"/>
      </left>
      <right style="medium"/>
      <top style="medium"/>
      <bottom style="hair"/>
    </border>
    <border>
      <left style="double"/>
      <right>
        <color indexed="63"/>
      </right>
      <top style="hair"/>
      <bottom style="medium"/>
    </border>
    <border>
      <left>
        <color indexed="63"/>
      </left>
      <right style="double"/>
      <top style="medium"/>
      <bottom style="hair"/>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183" fontId="0" fillId="0" borderId="0" applyFont="0" applyFill="0" applyBorder="0" applyAlignment="0" applyProtection="0"/>
    <xf numFmtId="9" fontId="0" fillId="0" borderId="0" applyFont="0" applyFill="0" applyBorder="0" applyAlignment="0" applyProtection="0"/>
  </cellStyleXfs>
  <cellXfs count="128">
    <xf numFmtId="0" fontId="0" fillId="0" borderId="0" xfId="0" applyAlignment="1">
      <alignment/>
    </xf>
    <xf numFmtId="0" fontId="0" fillId="0" borderId="0" xfId="0" applyAlignment="1">
      <alignment horizontal="right"/>
    </xf>
    <xf numFmtId="0" fontId="0" fillId="0" borderId="0" xfId="0" applyAlignment="1">
      <alignment horizontal="center"/>
    </xf>
    <xf numFmtId="164" fontId="0" fillId="0" borderId="0" xfId="0" applyNumberFormat="1" applyAlignment="1">
      <alignment horizontal="left"/>
    </xf>
    <xf numFmtId="165" fontId="0" fillId="0" borderId="0" xfId="0" applyNumberFormat="1" applyAlignment="1">
      <alignment horizontal="center"/>
    </xf>
    <xf numFmtId="165" fontId="0" fillId="0" borderId="0" xfId="0" applyNumberFormat="1" applyAlignment="1">
      <alignment/>
    </xf>
    <xf numFmtId="0" fontId="4" fillId="0" borderId="0" xfId="0" applyFont="1" applyAlignment="1">
      <alignment horizontal="center"/>
    </xf>
    <xf numFmtId="0" fontId="4" fillId="0" borderId="0" xfId="0" applyFont="1" applyAlignment="1">
      <alignment/>
    </xf>
    <xf numFmtId="165" fontId="4" fillId="0" borderId="0" xfId="0" applyNumberFormat="1" applyFont="1" applyAlignment="1">
      <alignment horizontal="center"/>
    </xf>
    <xf numFmtId="179" fontId="2" fillId="0" borderId="1" xfId="0" applyNumberFormat="1" applyFont="1" applyFill="1" applyBorder="1" applyAlignment="1" applyProtection="1">
      <alignment horizontal="right"/>
      <protection locked="0"/>
    </xf>
    <xf numFmtId="179" fontId="2" fillId="0" borderId="2" xfId="0" applyNumberFormat="1" applyFont="1" applyFill="1" applyBorder="1" applyAlignment="1" applyProtection="1">
      <alignment horizontal="right"/>
      <protection locked="0"/>
    </xf>
    <xf numFmtId="179" fontId="2" fillId="0" borderId="3" xfId="0" applyNumberFormat="1" applyFont="1" applyFill="1" applyBorder="1" applyAlignment="1" applyProtection="1">
      <alignment horizontal="right"/>
      <protection locked="0"/>
    </xf>
    <xf numFmtId="181" fontId="2" fillId="0" borderId="0" xfId="0" applyNumberFormat="1" applyFont="1" applyFill="1" applyBorder="1" applyAlignment="1" applyProtection="1">
      <alignment horizontal="right"/>
      <protection locked="0"/>
    </xf>
    <xf numFmtId="0" fontId="0" fillId="0" borderId="4" xfId="0" applyBorder="1" applyAlignment="1">
      <alignment/>
    </xf>
    <xf numFmtId="0" fontId="0" fillId="0" borderId="5" xfId="0" applyBorder="1" applyAlignment="1">
      <alignment wrapText="1"/>
    </xf>
    <xf numFmtId="0" fontId="0" fillId="0" borderId="5" xfId="0" applyBorder="1" applyAlignment="1">
      <alignment/>
    </xf>
    <xf numFmtId="164" fontId="0" fillId="0" borderId="5" xfId="0" applyNumberFormat="1" applyBorder="1" applyAlignment="1">
      <alignment horizontal="left"/>
    </xf>
    <xf numFmtId="167" fontId="0" fillId="0" borderId="5" xfId="0" applyNumberFormat="1" applyBorder="1" applyAlignment="1">
      <alignment horizontal="left"/>
    </xf>
    <xf numFmtId="0" fontId="12" fillId="0" borderId="0" xfId="0" applyFont="1" applyAlignment="1">
      <alignment horizontal="center"/>
    </xf>
    <xf numFmtId="0" fontId="0" fillId="0" borderId="0" xfId="0" applyBorder="1" applyAlignment="1">
      <alignment horizontal="centerContinuous"/>
    </xf>
    <xf numFmtId="0" fontId="0" fillId="0" borderId="6" xfId="0" applyBorder="1" applyAlignment="1">
      <alignment/>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right"/>
    </xf>
    <xf numFmtId="0" fontId="0" fillId="0" borderId="10" xfId="0" applyBorder="1" applyAlignment="1">
      <alignment horizontal="left"/>
    </xf>
    <xf numFmtId="0" fontId="0" fillId="0" borderId="0" xfId="0" applyFont="1" applyBorder="1" applyAlignment="1">
      <alignment horizontal="left"/>
    </xf>
    <xf numFmtId="0" fontId="0" fillId="0" borderId="0" xfId="0" applyBorder="1" applyAlignment="1">
      <alignment/>
    </xf>
    <xf numFmtId="0" fontId="11" fillId="0" borderId="0" xfId="0" applyFont="1" applyFill="1" applyBorder="1" applyAlignment="1">
      <alignment/>
    </xf>
    <xf numFmtId="0" fontId="0" fillId="0" borderId="6" xfId="0" applyFill="1" applyBorder="1" applyAlignment="1">
      <alignment horizontal="center"/>
    </xf>
    <xf numFmtId="2" fontId="8" fillId="0" borderId="7" xfId="0" applyNumberFormat="1" applyFont="1" applyFill="1" applyBorder="1" applyAlignment="1">
      <alignment horizontal="center"/>
    </xf>
    <xf numFmtId="0" fontId="0" fillId="0" borderId="11" xfId="0" applyBorder="1" applyAlignment="1">
      <alignment horizontal="center"/>
    </xf>
    <xf numFmtId="0" fontId="0" fillId="0" borderId="0" xfId="0" applyFont="1" applyBorder="1" applyAlignment="1" quotePrefix="1">
      <alignment/>
    </xf>
    <xf numFmtId="0" fontId="0" fillId="0" borderId="12" xfId="0" applyBorder="1" applyAlignment="1">
      <alignment horizontal="center"/>
    </xf>
    <xf numFmtId="1" fontId="0" fillId="0" borderId="0" xfId="0" applyNumberFormat="1" applyBorder="1" applyAlignment="1">
      <alignment horizontal="center"/>
    </xf>
    <xf numFmtId="1" fontId="8" fillId="0" borderId="0" xfId="0" applyNumberFormat="1" applyFont="1" applyBorder="1" applyAlignment="1">
      <alignment horizontal="center"/>
    </xf>
    <xf numFmtId="2" fontId="0" fillId="0" borderId="0" xfId="0" applyNumberFormat="1" applyBorder="1" applyAlignment="1">
      <alignment/>
    </xf>
    <xf numFmtId="0" fontId="0" fillId="0" borderId="13" xfId="0" applyBorder="1" applyAlignment="1">
      <alignment horizontal="center"/>
    </xf>
    <xf numFmtId="1" fontId="0" fillId="0" borderId="14" xfId="0" applyNumberFormat="1" applyBorder="1" applyAlignment="1">
      <alignment horizontal="center"/>
    </xf>
    <xf numFmtId="2" fontId="0" fillId="0" borderId="6" xfId="0" applyNumberFormat="1" applyBorder="1" applyAlignment="1">
      <alignment horizontal="center"/>
    </xf>
    <xf numFmtId="0" fontId="0" fillId="0" borderId="0" xfId="0" applyBorder="1" applyAlignment="1">
      <alignment horizontal="center"/>
    </xf>
    <xf numFmtId="2" fontId="0" fillId="0" borderId="0" xfId="0" applyNumberFormat="1" applyAlignment="1">
      <alignment horizontal="center"/>
    </xf>
    <xf numFmtId="2" fontId="0" fillId="0" borderId="0" xfId="0" applyNumberFormat="1" applyAlignment="1">
      <alignment/>
    </xf>
    <xf numFmtId="0" fontId="0" fillId="0" borderId="0" xfId="0" applyBorder="1" applyAlignment="1">
      <alignment horizontal="left"/>
    </xf>
    <xf numFmtId="0" fontId="5" fillId="2" borderId="15" xfId="0" applyFont="1" applyFill="1" applyBorder="1" applyAlignment="1" applyProtection="1">
      <alignment horizontal="center"/>
      <protection/>
    </xf>
    <xf numFmtId="0" fontId="1" fillId="2" borderId="16" xfId="0" applyFont="1" applyFill="1" applyBorder="1" applyAlignment="1" applyProtection="1">
      <alignment horizontal="right"/>
      <protection/>
    </xf>
    <xf numFmtId="0" fontId="0" fillId="2" borderId="17" xfId="0" applyFill="1" applyBorder="1" applyAlignment="1" applyProtection="1">
      <alignment horizontal="center"/>
      <protection/>
    </xf>
    <xf numFmtId="165" fontId="5" fillId="2" borderId="18" xfId="0" applyNumberFormat="1" applyFont="1" applyFill="1" applyBorder="1" applyAlignment="1" applyProtection="1">
      <alignment horizontal="right"/>
      <protection/>
    </xf>
    <xf numFmtId="165" fontId="6" fillId="2" borderId="19" xfId="0" applyNumberFormat="1" applyFont="1" applyFill="1" applyBorder="1" applyAlignment="1" applyProtection="1">
      <alignment horizontal="right"/>
      <protection/>
    </xf>
    <xf numFmtId="165" fontId="7" fillId="2" borderId="19" xfId="0" applyNumberFormat="1" applyFont="1" applyFill="1" applyBorder="1" applyAlignment="1" applyProtection="1">
      <alignment horizontal="right"/>
      <protection/>
    </xf>
    <xf numFmtId="0" fontId="1" fillId="2" borderId="20" xfId="0" applyFont="1" applyFill="1" applyBorder="1" applyAlignment="1" applyProtection="1">
      <alignment horizontal="right"/>
      <protection/>
    </xf>
    <xf numFmtId="0" fontId="0" fillId="2" borderId="21" xfId="0" applyFill="1" applyBorder="1" applyAlignment="1" applyProtection="1">
      <alignment horizontal="center"/>
      <protection/>
    </xf>
    <xf numFmtId="0" fontId="1" fillId="2" borderId="22" xfId="0" applyFont="1" applyFill="1" applyBorder="1" applyAlignment="1" applyProtection="1">
      <alignment horizontal="right"/>
      <protection/>
    </xf>
    <xf numFmtId="0" fontId="0" fillId="2" borderId="23" xfId="0" applyFill="1" applyBorder="1" applyAlignment="1" applyProtection="1">
      <alignment horizontal="center"/>
      <protection/>
    </xf>
    <xf numFmtId="165" fontId="5" fillId="2" borderId="24" xfId="0" applyNumberFormat="1" applyFont="1" applyFill="1" applyBorder="1" applyAlignment="1" applyProtection="1">
      <alignment horizontal="right"/>
      <protection/>
    </xf>
    <xf numFmtId="165" fontId="6" fillId="2" borderId="25" xfId="0" applyNumberFormat="1" applyFont="1" applyFill="1" applyBorder="1" applyAlignment="1" applyProtection="1">
      <alignment horizontal="right"/>
      <protection/>
    </xf>
    <xf numFmtId="165" fontId="7" fillId="2" borderId="25" xfId="0" applyNumberFormat="1" applyFont="1" applyFill="1" applyBorder="1" applyAlignment="1" applyProtection="1">
      <alignment horizontal="right"/>
      <protection/>
    </xf>
    <xf numFmtId="0" fontId="0" fillId="2" borderId="26" xfId="0" applyFill="1" applyBorder="1" applyAlignment="1" applyProtection="1">
      <alignment horizontal="right"/>
      <protection/>
    </xf>
    <xf numFmtId="0" fontId="0" fillId="2" borderId="26" xfId="0" applyFont="1" applyFill="1" applyBorder="1" applyAlignment="1" applyProtection="1">
      <alignment horizontal="right"/>
      <protection/>
    </xf>
    <xf numFmtId="0" fontId="0" fillId="2" borderId="27" xfId="0" applyFill="1" applyBorder="1" applyAlignment="1" applyProtection="1">
      <alignment/>
      <protection/>
    </xf>
    <xf numFmtId="0" fontId="0" fillId="2" borderId="28" xfId="0" applyFill="1" applyBorder="1" applyAlignment="1" applyProtection="1">
      <alignment horizontal="right"/>
      <protection/>
    </xf>
    <xf numFmtId="0" fontId="1" fillId="2" borderId="1" xfId="0" applyFont="1" applyFill="1" applyBorder="1" applyAlignment="1" applyProtection="1">
      <alignment horizontal="right"/>
      <protection/>
    </xf>
    <xf numFmtId="3" fontId="1" fillId="2" borderId="1" xfId="0" applyNumberFormat="1" applyFont="1" applyFill="1" applyBorder="1" applyAlignment="1" applyProtection="1">
      <alignment horizontal="right"/>
      <protection/>
    </xf>
    <xf numFmtId="0" fontId="1" fillId="2" borderId="1" xfId="0" applyFont="1" applyFill="1" applyBorder="1" applyAlignment="1" applyProtection="1">
      <alignment horizontal="center"/>
      <protection/>
    </xf>
    <xf numFmtId="0" fontId="0" fillId="2" borderId="1" xfId="0" applyFill="1" applyBorder="1" applyAlignment="1">
      <alignment horizontal="center"/>
    </xf>
    <xf numFmtId="0" fontId="0" fillId="2" borderId="1" xfId="0" applyFill="1" applyBorder="1" applyAlignment="1">
      <alignment/>
    </xf>
    <xf numFmtId="0" fontId="0" fillId="2" borderId="29" xfId="0" applyFill="1" applyBorder="1" applyAlignment="1" applyProtection="1">
      <alignment/>
      <protection/>
    </xf>
    <xf numFmtId="0" fontId="0" fillId="2" borderId="30" xfId="0" applyFill="1" applyBorder="1" applyAlignment="1" applyProtection="1">
      <alignment/>
      <protection/>
    </xf>
    <xf numFmtId="0" fontId="0" fillId="2" borderId="31" xfId="0" applyFill="1" applyBorder="1" applyAlignment="1" applyProtection="1">
      <alignment/>
      <protection/>
    </xf>
    <xf numFmtId="179" fontId="0" fillId="2" borderId="31" xfId="0" applyNumberFormat="1" applyFill="1" applyBorder="1" applyAlignment="1" applyProtection="1">
      <alignment horizontal="right"/>
      <protection/>
    </xf>
    <xf numFmtId="180" fontId="0" fillId="2" borderId="32" xfId="0" applyNumberFormat="1" applyFill="1" applyBorder="1" applyAlignment="1" applyProtection="1">
      <alignment horizontal="left"/>
      <protection/>
    </xf>
    <xf numFmtId="0" fontId="0" fillId="2" borderId="26" xfId="0" applyFill="1" applyBorder="1" applyAlignment="1" applyProtection="1">
      <alignment/>
      <protection/>
    </xf>
    <xf numFmtId="0" fontId="0" fillId="2" borderId="0" xfId="0" applyFill="1" applyBorder="1" applyAlignment="1" applyProtection="1">
      <alignment/>
      <protection/>
    </xf>
    <xf numFmtId="0" fontId="0" fillId="2" borderId="0" xfId="0" applyFill="1" applyBorder="1" applyAlignment="1" applyProtection="1">
      <alignment horizontal="center"/>
      <protection/>
    </xf>
    <xf numFmtId="0" fontId="0" fillId="2" borderId="33" xfId="0" applyFill="1" applyBorder="1" applyAlignment="1" applyProtection="1">
      <alignment horizontal="right"/>
      <protection/>
    </xf>
    <xf numFmtId="0" fontId="0" fillId="2" borderId="34" xfId="0" applyFill="1" applyBorder="1" applyAlignment="1" applyProtection="1">
      <alignment horizontal="center"/>
      <protection/>
    </xf>
    <xf numFmtId="0" fontId="0" fillId="2" borderId="34" xfId="0" applyFill="1" applyBorder="1" applyAlignment="1" applyProtection="1">
      <alignment/>
      <protection/>
    </xf>
    <xf numFmtId="0" fontId="0" fillId="2" borderId="35" xfId="0" applyFill="1" applyBorder="1" applyAlignment="1" applyProtection="1">
      <alignment horizontal="right"/>
      <protection/>
    </xf>
    <xf numFmtId="170" fontId="11" fillId="2" borderId="0" xfId="0" applyNumberFormat="1" applyFont="1" applyFill="1" applyBorder="1" applyAlignment="1" applyProtection="1">
      <alignment horizontal="center"/>
      <protection/>
    </xf>
    <xf numFmtId="170" fontId="0" fillId="2" borderId="0" xfId="0" applyNumberFormat="1" applyFont="1" applyFill="1" applyBorder="1" applyAlignment="1" applyProtection="1">
      <alignment horizontal="left"/>
      <protection/>
    </xf>
    <xf numFmtId="170" fontId="9" fillId="2" borderId="0" xfId="0" applyNumberFormat="1" applyFont="1" applyFill="1" applyBorder="1" applyAlignment="1" applyProtection="1">
      <alignment horizontal="left"/>
      <protection/>
    </xf>
    <xf numFmtId="165" fontId="11" fillId="2" borderId="0" xfId="0" applyNumberFormat="1" applyFont="1" applyFill="1" applyBorder="1" applyAlignment="1" applyProtection="1">
      <alignment horizontal="center"/>
      <protection/>
    </xf>
    <xf numFmtId="165" fontId="0" fillId="2" borderId="0" xfId="0" applyNumberFormat="1" applyFont="1" applyFill="1" applyBorder="1" applyAlignment="1" applyProtection="1">
      <alignment horizontal="left"/>
      <protection/>
    </xf>
    <xf numFmtId="165" fontId="10" fillId="2" borderId="0" xfId="0" applyNumberFormat="1" applyFont="1" applyFill="1" applyBorder="1" applyAlignment="1" applyProtection="1">
      <alignment horizontal="left"/>
      <protection/>
    </xf>
    <xf numFmtId="165" fontId="9" fillId="2" borderId="0" xfId="0" applyNumberFormat="1" applyFont="1" applyFill="1" applyBorder="1" applyAlignment="1" applyProtection="1">
      <alignment horizontal="left"/>
      <protection/>
    </xf>
    <xf numFmtId="170" fontId="11" fillId="2" borderId="0" xfId="0" applyNumberFormat="1" applyFont="1" applyFill="1" applyBorder="1" applyAlignment="1" applyProtection="1">
      <alignment horizontal="right"/>
      <protection/>
    </xf>
    <xf numFmtId="165" fontId="10" fillId="2" borderId="27" xfId="0" applyNumberFormat="1" applyFont="1" applyFill="1" applyBorder="1" applyAlignment="1" applyProtection="1">
      <alignment horizontal="left"/>
      <protection/>
    </xf>
    <xf numFmtId="0" fontId="0" fillId="2" borderId="35" xfId="0" applyFill="1" applyBorder="1" applyAlignment="1" applyProtection="1">
      <alignment/>
      <protection/>
    </xf>
    <xf numFmtId="0" fontId="0" fillId="2" borderId="0" xfId="0" applyFill="1" applyBorder="1" applyAlignment="1" applyProtection="1">
      <alignment horizontal="right"/>
      <protection/>
    </xf>
    <xf numFmtId="164" fontId="0" fillId="2" borderId="0" xfId="0" applyNumberFormat="1" applyFill="1" applyBorder="1" applyAlignment="1" applyProtection="1">
      <alignment horizontal="left"/>
      <protection/>
    </xf>
    <xf numFmtId="165" fontId="11" fillId="2" borderId="36" xfId="0" applyNumberFormat="1" applyFont="1" applyFill="1" applyBorder="1" applyAlignment="1" applyProtection="1">
      <alignment horizontal="center"/>
      <protection/>
    </xf>
    <xf numFmtId="165" fontId="0" fillId="2" borderId="36" xfId="0" applyNumberFormat="1" applyFont="1" applyFill="1" applyBorder="1" applyAlignment="1" applyProtection="1">
      <alignment horizontal="left"/>
      <protection/>
    </xf>
    <xf numFmtId="165" fontId="10" fillId="2" borderId="36" xfId="0" applyNumberFormat="1" applyFont="1" applyFill="1" applyBorder="1" applyAlignment="1" applyProtection="1">
      <alignment horizontal="left"/>
      <protection/>
    </xf>
    <xf numFmtId="165" fontId="9" fillId="2" borderId="36" xfId="0" applyNumberFormat="1" applyFont="1" applyFill="1" applyBorder="1" applyAlignment="1" applyProtection="1">
      <alignment horizontal="left"/>
      <protection/>
    </xf>
    <xf numFmtId="170" fontId="11" fillId="2" borderId="36" xfId="0" applyNumberFormat="1" applyFont="1" applyFill="1" applyBorder="1" applyAlignment="1" applyProtection="1">
      <alignment horizontal="right"/>
      <protection/>
    </xf>
    <xf numFmtId="165" fontId="10" fillId="2" borderId="37" xfId="0" applyNumberFormat="1" applyFont="1" applyFill="1" applyBorder="1" applyAlignment="1" applyProtection="1">
      <alignment horizontal="left"/>
      <protection/>
    </xf>
    <xf numFmtId="180" fontId="2" fillId="0" borderId="3" xfId="0" applyNumberFormat="1" applyFont="1" applyFill="1" applyBorder="1" applyAlignment="1" applyProtection="1">
      <alignment horizontal="left"/>
      <protection locked="0"/>
    </xf>
    <xf numFmtId="180" fontId="2" fillId="0" borderId="1" xfId="0" applyNumberFormat="1" applyFont="1" applyFill="1" applyBorder="1" applyAlignment="1" applyProtection="1">
      <alignment horizontal="left"/>
      <protection locked="0"/>
    </xf>
    <xf numFmtId="180" fontId="2" fillId="0" borderId="2" xfId="0" applyNumberFormat="1" applyFont="1" applyFill="1" applyBorder="1" applyAlignment="1" applyProtection="1">
      <alignment horizontal="left"/>
      <protection locked="0"/>
    </xf>
    <xf numFmtId="0" fontId="13" fillId="2" borderId="38" xfId="0" applyFont="1" applyFill="1" applyBorder="1" applyAlignment="1" applyProtection="1">
      <alignment horizontal="center"/>
      <protection/>
    </xf>
    <xf numFmtId="165" fontId="13" fillId="2" borderId="39" xfId="0" applyNumberFormat="1" applyFont="1" applyFill="1" applyBorder="1" applyAlignment="1" applyProtection="1">
      <alignment horizontal="right"/>
      <protection/>
    </xf>
    <xf numFmtId="165" fontId="13" fillId="2" borderId="40" xfId="0" applyNumberFormat="1" applyFont="1" applyFill="1" applyBorder="1" applyAlignment="1" applyProtection="1">
      <alignment horizontal="right"/>
      <protection/>
    </xf>
    <xf numFmtId="0" fontId="4" fillId="0" borderId="41" xfId="0" applyFont="1" applyBorder="1" applyAlignment="1">
      <alignment horizontal="center"/>
    </xf>
    <xf numFmtId="0" fontId="14" fillId="0" borderId="5" xfId="0" applyFont="1" applyBorder="1" applyAlignment="1">
      <alignment horizontal="center"/>
    </xf>
    <xf numFmtId="170" fontId="15" fillId="2" borderId="26" xfId="0" applyNumberFormat="1" applyFont="1" applyFill="1" applyBorder="1" applyAlignment="1" applyProtection="1">
      <alignment horizontal="right"/>
      <protection/>
    </xf>
    <xf numFmtId="165" fontId="15" fillId="2" borderId="26" xfId="0" applyNumberFormat="1" applyFont="1" applyFill="1" applyBorder="1" applyAlignment="1" applyProtection="1">
      <alignment horizontal="right"/>
      <protection/>
    </xf>
    <xf numFmtId="170" fontId="15" fillId="2" borderId="0" xfId="0" applyNumberFormat="1" applyFont="1" applyFill="1" applyBorder="1" applyAlignment="1" applyProtection="1">
      <alignment horizontal="left"/>
      <protection/>
    </xf>
    <xf numFmtId="170" fontId="15" fillId="2" borderId="27" xfId="0" applyNumberFormat="1" applyFont="1" applyFill="1" applyBorder="1" applyAlignment="1" applyProtection="1">
      <alignment horizontal="left"/>
      <protection/>
    </xf>
    <xf numFmtId="165" fontId="15" fillId="2" borderId="0" xfId="0" applyNumberFormat="1" applyFont="1" applyFill="1" applyBorder="1" applyAlignment="1" applyProtection="1">
      <alignment horizontal="left"/>
      <protection/>
    </xf>
    <xf numFmtId="165" fontId="15" fillId="2" borderId="42" xfId="0" applyNumberFormat="1" applyFont="1" applyFill="1" applyBorder="1" applyAlignment="1" applyProtection="1">
      <alignment horizontal="right"/>
      <protection/>
    </xf>
    <xf numFmtId="0" fontId="7" fillId="2" borderId="43" xfId="0" applyFont="1" applyFill="1" applyBorder="1" applyAlignment="1" applyProtection="1">
      <alignment horizontal="center"/>
      <protection/>
    </xf>
    <xf numFmtId="0" fontId="6" fillId="2" borderId="43" xfId="0" applyFont="1" applyFill="1" applyBorder="1" applyAlignment="1" applyProtection="1">
      <alignment horizontal="center"/>
      <protection/>
    </xf>
    <xf numFmtId="0" fontId="1" fillId="0" borderId="0" xfId="0" applyFont="1" applyAlignment="1">
      <alignment/>
    </xf>
    <xf numFmtId="0" fontId="1" fillId="2" borderId="44" xfId="0" applyFont="1" applyFill="1" applyBorder="1" applyAlignment="1" applyProtection="1">
      <alignment horizontal="center"/>
      <protection/>
    </xf>
    <xf numFmtId="0" fontId="1" fillId="2" borderId="45" xfId="0" applyFont="1" applyFill="1" applyBorder="1" applyAlignment="1" applyProtection="1">
      <alignment horizontal="center"/>
      <protection/>
    </xf>
    <xf numFmtId="0" fontId="1" fillId="2" borderId="46" xfId="0" applyFont="1" applyFill="1" applyBorder="1" applyAlignment="1" applyProtection="1">
      <alignment horizontal="center"/>
      <protection/>
    </xf>
    <xf numFmtId="0" fontId="0" fillId="2" borderId="31" xfId="0" applyFont="1" applyFill="1" applyBorder="1" applyAlignment="1" applyProtection="1">
      <alignment horizontal="center"/>
      <protection/>
    </xf>
    <xf numFmtId="0" fontId="8" fillId="2" borderId="1" xfId="0" applyFont="1" applyFill="1" applyBorder="1" applyAlignment="1" applyProtection="1">
      <alignment horizontal="center"/>
      <protection/>
    </xf>
    <xf numFmtId="0" fontId="8" fillId="2" borderId="29" xfId="0" applyFont="1" applyFill="1" applyBorder="1" applyAlignment="1" applyProtection="1">
      <alignment horizontal="center"/>
      <protection/>
    </xf>
    <xf numFmtId="0" fontId="1" fillId="2" borderId="47" xfId="0" applyFont="1" applyFill="1" applyBorder="1" applyAlignment="1" applyProtection="1">
      <alignment horizontal="center"/>
      <protection/>
    </xf>
    <xf numFmtId="0" fontId="1" fillId="2" borderId="48" xfId="0" applyFont="1" applyFill="1" applyBorder="1" applyAlignment="1" applyProtection="1">
      <alignment horizontal="center"/>
      <protection/>
    </xf>
    <xf numFmtId="0" fontId="1" fillId="2" borderId="49" xfId="0" applyFont="1" applyFill="1" applyBorder="1" applyAlignment="1" applyProtection="1">
      <alignment horizontal="center"/>
      <protection/>
    </xf>
    <xf numFmtId="0" fontId="0" fillId="2" borderId="50" xfId="0" applyFill="1" applyBorder="1" applyAlignment="1" applyProtection="1">
      <alignment/>
      <protection/>
    </xf>
    <xf numFmtId="0" fontId="0" fillId="0" borderId="2" xfId="0" applyBorder="1" applyAlignment="1">
      <alignment/>
    </xf>
    <xf numFmtId="165" fontId="8" fillId="2" borderId="48" xfId="0" applyNumberFormat="1" applyFont="1" applyFill="1" applyBorder="1" applyAlignment="1" applyProtection="1">
      <alignment horizontal="left"/>
      <protection/>
    </xf>
    <xf numFmtId="0" fontId="0" fillId="0" borderId="48" xfId="0" applyBorder="1" applyAlignment="1">
      <alignment/>
    </xf>
    <xf numFmtId="165" fontId="8" fillId="2" borderId="48" xfId="0" applyNumberFormat="1" applyFont="1" applyFill="1" applyBorder="1" applyAlignment="1" applyProtection="1">
      <alignment horizontal="center"/>
      <protection/>
    </xf>
    <xf numFmtId="0" fontId="0" fillId="0" borderId="48" xfId="0" applyFont="1" applyBorder="1" applyAlignment="1">
      <alignment/>
    </xf>
    <xf numFmtId="0" fontId="0" fillId="0" borderId="51"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975"/>
          <c:w val="0.993"/>
          <c:h val="0.90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xVal>
            <c:numRef>
              <c:f>MODES!$A$34:$A$63</c:f>
              <c:numCache/>
            </c:numRef>
          </c:xVal>
          <c:yVal>
            <c:numRef>
              <c:f>MODES!$G$34:$G$63</c:f>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xVal>
            <c:numRef>
              <c:f>MODES!$A$34:$A$63</c:f>
              <c:numCache/>
            </c:numRef>
          </c:xVal>
          <c:yVal>
            <c:numRef>
              <c:f>MODES!$H$34:$H$63</c:f>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xVal>
            <c:numRef>
              <c:f>MODES!$A$34:$A$63</c:f>
              <c:numCache/>
            </c:numRef>
          </c:xVal>
          <c:yVal>
            <c:numRef>
              <c:f>MODES!$I$34:$I$63</c:f>
              <c:numCache/>
            </c:numRef>
          </c:yVal>
          <c:smooth val="0"/>
        </c:ser>
        <c:ser>
          <c:idx val="3"/>
          <c:order val="3"/>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xVal>
            <c:numRef>
              <c:f>MODES!$A$34:$A$63</c:f>
              <c:numCache/>
            </c:numRef>
          </c:xVal>
          <c:yVal>
            <c:numRef>
              <c:f>MODES!$J$34:$J$63</c:f>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MODES!$A$64:$A$111</c:f>
              <c:numCache/>
            </c:numRef>
          </c:xVal>
          <c:yVal>
            <c:numRef>
              <c:f>MODES!$D$64:$D$111</c:f>
              <c:numCache/>
            </c:numRef>
          </c:yVal>
          <c:smooth val="0"/>
        </c:ser>
        <c:ser>
          <c:idx val="5"/>
          <c:order val="5"/>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MODES!$A$64:$A$111</c:f>
              <c:numCache/>
            </c:numRef>
          </c:xVal>
          <c:yVal>
            <c:numRef>
              <c:f>MODES!$E$64:$E$111</c:f>
              <c:numCache/>
            </c:numRef>
          </c:yVal>
          <c:smooth val="0"/>
        </c:ser>
        <c:ser>
          <c:idx val="6"/>
          <c:order val="6"/>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MODES!$A$64:$A$111</c:f>
              <c:numCache/>
            </c:numRef>
          </c:xVal>
          <c:yVal>
            <c:numRef>
              <c:f>MODES!$F$64:$F$111</c:f>
              <c:numCache/>
            </c:numRef>
          </c:yVal>
          <c:smooth val="0"/>
        </c:ser>
        <c:ser>
          <c:idx val="7"/>
          <c:order val="7"/>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MODES!$A$112:$A$175</c:f>
              <c:numCache/>
            </c:numRef>
          </c:xVal>
          <c:yVal>
            <c:numRef>
              <c:f>MODES!$B$112:$B$175</c:f>
              <c:numCache/>
            </c:numRef>
          </c:yVal>
          <c:smooth val="0"/>
        </c:ser>
        <c:ser>
          <c:idx val="8"/>
          <c:order val="8"/>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MODES!$A$112:$A$175</c:f>
              <c:numCache/>
            </c:numRef>
          </c:xVal>
          <c:yVal>
            <c:numRef>
              <c:f>MODES!$C$112:$C$175</c:f>
              <c:numCache/>
            </c:numRef>
          </c:yVal>
          <c:smooth val="0"/>
        </c:ser>
        <c:ser>
          <c:idx val="9"/>
          <c:order val="9"/>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yVal>
            <c:numLit>
              <c:ptCount val="1"/>
              <c:pt idx="0">
                <c:v>1</c:v>
              </c:pt>
            </c:numLit>
          </c:yVal>
          <c:smooth val="0"/>
        </c:ser>
        <c:ser>
          <c:idx val="10"/>
          <c:order val="1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xVal>
            <c:numRef>
              <c:f>MODES!$A$34:$A$63</c:f>
              <c:numCache/>
            </c:numRef>
          </c:xVal>
          <c:yVal>
            <c:numRef>
              <c:f>MODES!$H$34:$H$63</c:f>
              <c:numCache/>
            </c:numRef>
          </c:yVal>
          <c:smooth val="0"/>
        </c:ser>
        <c:ser>
          <c:idx val="11"/>
          <c:order val="11"/>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xVal>
            <c:numRef>
              <c:f>MODES!$A$34:$A$63</c:f>
              <c:numCache/>
            </c:numRef>
          </c:xVal>
          <c:yVal>
            <c:numRef>
              <c:f>MODES!$I$34:$I$63</c:f>
              <c:numCache/>
            </c:numRef>
          </c:yVal>
          <c:smooth val="0"/>
        </c:ser>
        <c:axId val="37476324"/>
        <c:axId val="24400549"/>
      </c:scatterChart>
      <c:valAx>
        <c:axId val="37476324"/>
        <c:scaling>
          <c:logBase val="10"/>
          <c:orientation val="minMax"/>
          <c:min val="10"/>
        </c:scaling>
        <c:axPos val="b"/>
        <c:title>
          <c:tx>
            <c:rich>
              <a:bodyPr vert="horz" rot="0" anchor="ctr"/>
              <a:lstStyle/>
              <a:p>
                <a:pPr algn="ctr">
                  <a:defRPr/>
                </a:pPr>
                <a:r>
                  <a:rPr lang="en-US" cap="none" sz="1000" b="1" i="0" u="none" baseline="0">
                    <a:latin typeface="MS Sans Serif"/>
                    <a:ea typeface="MS Sans Serif"/>
                    <a:cs typeface="MS Sans Serif"/>
                  </a:rPr>
                  <a:t>Frequency (Hz)</a:t>
                </a:r>
              </a:p>
            </c:rich>
          </c:tx>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in"/>
        <c:minorTickMark val="none"/>
        <c:tickLblPos val="nextTo"/>
        <c:crossAx val="24400549"/>
        <c:crosses val="autoZero"/>
        <c:crossBetween val="midCat"/>
        <c:dispUnits/>
      </c:valAx>
      <c:valAx>
        <c:axId val="24400549"/>
        <c:scaling>
          <c:orientation val="minMax"/>
          <c:max val="8"/>
          <c:min val="1"/>
        </c:scaling>
        <c:axPos val="l"/>
        <c:majorGridlines>
          <c:spPr>
            <a:ln w="3175">
              <a:solidFill>
                <a:srgbClr val="000000"/>
              </a:solidFill>
            </a:ln>
          </c:spPr>
        </c:majorGridlines>
        <c:minorGridlines>
          <c:spPr>
            <a:ln w="3175">
              <a:solidFill>
                <a:srgbClr val="000000"/>
              </a:solidFill>
            </a:ln>
          </c:spPr>
        </c:minorGridlines>
        <c:delete val="0"/>
        <c:numFmt formatCode="General" sourceLinked="1"/>
        <c:majorTickMark val="cross"/>
        <c:minorTickMark val="none"/>
        <c:tickLblPos val="nextTo"/>
        <c:txPr>
          <a:bodyPr/>
          <a:lstStyle/>
          <a:p>
            <a:pPr>
              <a:defRPr lang="en-US" cap="none" sz="1000" b="0" i="0" u="none" baseline="0">
                <a:solidFill>
                  <a:srgbClr val="FFFFFF"/>
                </a:solidFill>
                <a:latin typeface="MS Sans Serif"/>
                <a:ea typeface="MS Sans Serif"/>
                <a:cs typeface="MS Sans Serif"/>
              </a:defRPr>
            </a:pPr>
          </a:p>
        </c:txPr>
        <c:crossAx val="37476324"/>
        <c:crosses val="autoZero"/>
        <c:crossBetween val="midCat"/>
        <c:dispUnits/>
        <c:majorUnit val="1"/>
        <c:minorUnit val="1"/>
      </c:valAx>
      <c:spPr>
        <a:noFill/>
        <a:ln>
          <a:noFill/>
        </a:ln>
      </c:spPr>
    </c:plotArea>
    <c:plotVisOnly val="0"/>
    <c:dispBlanksAs val="gap"/>
    <c:showDLblsOverMax val="0"/>
  </c:chart>
  <c:spPr>
    <a:ln w="3175">
      <a:noFill/>
    </a:ln>
  </c:spPr>
  <c:txPr>
    <a:bodyPr vert="horz" rot="0"/>
    <a:lstStyle/>
    <a:p>
      <a:pPr>
        <a:defRPr lang="en-US" cap="none" sz="1000" b="0" i="0" u="none" baseline="0">
          <a:latin typeface="MS Sans Serif"/>
          <a:ea typeface="MS Sans Serif"/>
          <a:cs typeface="MS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png" /><Relationship Id="rId5"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11</xdr:row>
      <xdr:rowOff>9525</xdr:rowOff>
    </xdr:from>
    <xdr:to>
      <xdr:col>9</xdr:col>
      <xdr:colOff>9525</xdr:colOff>
      <xdr:row>17</xdr:row>
      <xdr:rowOff>9525</xdr:rowOff>
    </xdr:to>
    <xdr:grpSp>
      <xdr:nvGrpSpPr>
        <xdr:cNvPr id="1" name="Group 136"/>
        <xdr:cNvGrpSpPr>
          <a:grpSpLocks/>
        </xdr:cNvGrpSpPr>
      </xdr:nvGrpSpPr>
      <xdr:grpSpPr>
        <a:xfrm>
          <a:off x="66675" y="1743075"/>
          <a:ext cx="5162550" cy="981075"/>
          <a:chOff x="-1299" y="-20060"/>
          <a:chExt cx="21000" cy="102"/>
        </a:xfrm>
        <a:solidFill>
          <a:srgbClr val="FFFFFF"/>
        </a:solidFill>
      </xdr:grpSpPr>
      <xdr:sp>
        <xdr:nvSpPr>
          <xdr:cNvPr id="2" name="Arc 13"/>
          <xdr:cNvSpPr>
            <a:spLocks/>
          </xdr:cNvSpPr>
        </xdr:nvSpPr>
        <xdr:spPr>
          <a:xfrm>
            <a:off x="-1299" y="-20060"/>
            <a:ext cx="5376" cy="101"/>
          </a:xfrm>
          <a:prstGeom prst="arc">
            <a:avLst/>
          </a:prstGeom>
          <a:noFill/>
          <a:ln w="1714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nvGrpSpPr>
          <xdr:cNvPr id="3" name="Group 41"/>
          <xdr:cNvGrpSpPr>
            <a:grpSpLocks/>
          </xdr:cNvGrpSpPr>
        </xdr:nvGrpSpPr>
        <xdr:grpSpPr>
          <a:xfrm>
            <a:off x="4077" y="-20059"/>
            <a:ext cx="10206" cy="101"/>
            <a:chOff x="3380000" y="3600000"/>
            <a:chExt cx="4860000" cy="2020000"/>
          </a:xfrm>
          <a:solidFill>
            <a:srgbClr val="FFFFFF"/>
          </a:solidFill>
        </xdr:grpSpPr>
        <xdr:sp>
          <xdr:nvSpPr>
            <xdr:cNvPr id="4" name="Arc 15"/>
            <xdr:cNvSpPr>
              <a:spLocks/>
            </xdr:cNvSpPr>
          </xdr:nvSpPr>
          <xdr:spPr>
            <a:xfrm>
              <a:off x="5880470" y="3600000"/>
              <a:ext cx="2359530" cy="1999800"/>
            </a:xfrm>
            <a:prstGeom prst="arc">
              <a:avLst/>
            </a:prstGeom>
            <a:noFill/>
            <a:ln w="1714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5" name="Arc 14"/>
            <xdr:cNvSpPr>
              <a:spLocks/>
            </xdr:cNvSpPr>
          </xdr:nvSpPr>
          <xdr:spPr>
            <a:xfrm flipH="1">
              <a:off x="3380000" y="3600000"/>
              <a:ext cx="2500470" cy="2020000"/>
            </a:xfrm>
            <a:prstGeom prst="arc">
              <a:avLst/>
            </a:prstGeom>
            <a:noFill/>
            <a:ln w="1714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sp>
        <xdr:nvSpPr>
          <xdr:cNvPr id="6" name="Arc 16"/>
          <xdr:cNvSpPr>
            <a:spLocks/>
          </xdr:cNvSpPr>
        </xdr:nvSpPr>
        <xdr:spPr>
          <a:xfrm flipH="1">
            <a:off x="14367" y="-20060"/>
            <a:ext cx="5334" cy="101"/>
          </a:xfrm>
          <a:prstGeom prst="arc">
            <a:avLst/>
          </a:prstGeom>
          <a:noFill/>
          <a:ln w="1714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clientData/>
  </xdr:twoCellAnchor>
  <xdr:twoCellAnchor>
    <xdr:from>
      <xdr:col>1</xdr:col>
      <xdr:colOff>19050</xdr:colOff>
      <xdr:row>11</xdr:row>
      <xdr:rowOff>28575</xdr:rowOff>
    </xdr:from>
    <xdr:to>
      <xdr:col>8</xdr:col>
      <xdr:colOff>628650</xdr:colOff>
      <xdr:row>17</xdr:row>
      <xdr:rowOff>19050</xdr:rowOff>
    </xdr:to>
    <xdr:grpSp>
      <xdr:nvGrpSpPr>
        <xdr:cNvPr id="7" name="Group 135"/>
        <xdr:cNvGrpSpPr>
          <a:grpSpLocks/>
        </xdr:cNvGrpSpPr>
      </xdr:nvGrpSpPr>
      <xdr:grpSpPr>
        <a:xfrm>
          <a:off x="57150" y="1762125"/>
          <a:ext cx="5143500" cy="971550"/>
          <a:chOff x="-623" y="-19931"/>
          <a:chExt cx="20295" cy="200"/>
        </a:xfrm>
        <a:solidFill>
          <a:srgbClr val="FFFFFF"/>
        </a:solidFill>
      </xdr:grpSpPr>
      <xdr:sp>
        <xdr:nvSpPr>
          <xdr:cNvPr id="8" name="Arc 103"/>
          <xdr:cNvSpPr>
            <a:spLocks/>
          </xdr:cNvSpPr>
        </xdr:nvSpPr>
        <xdr:spPr>
          <a:xfrm>
            <a:off x="-623" y="-19931"/>
            <a:ext cx="10371" cy="200"/>
          </a:xfrm>
          <a:prstGeom prst="arc">
            <a:avLst/>
          </a:prstGeom>
          <a:noFill/>
          <a:ln w="17145" cmpd="sng">
            <a:solidFill>
              <a:srgbClr val="0000FF"/>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9" name="Arc 104"/>
          <xdr:cNvSpPr>
            <a:spLocks/>
          </xdr:cNvSpPr>
        </xdr:nvSpPr>
        <xdr:spPr>
          <a:xfrm flipH="1">
            <a:off x="9748" y="-19931"/>
            <a:ext cx="9924" cy="200"/>
          </a:xfrm>
          <a:prstGeom prst="arc">
            <a:avLst/>
          </a:prstGeom>
          <a:noFill/>
          <a:ln w="17145" cmpd="sng">
            <a:solidFill>
              <a:srgbClr val="0000FF"/>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clientData/>
  </xdr:twoCellAnchor>
  <xdr:twoCellAnchor>
    <xdr:from>
      <xdr:col>0</xdr:col>
      <xdr:colOff>38100</xdr:colOff>
      <xdr:row>11</xdr:row>
      <xdr:rowOff>0</xdr:rowOff>
    </xdr:from>
    <xdr:to>
      <xdr:col>9</xdr:col>
      <xdr:colOff>47625</xdr:colOff>
      <xdr:row>17</xdr:row>
      <xdr:rowOff>0</xdr:rowOff>
    </xdr:to>
    <xdr:grpSp>
      <xdr:nvGrpSpPr>
        <xdr:cNvPr id="10" name="Group 137"/>
        <xdr:cNvGrpSpPr>
          <a:grpSpLocks/>
        </xdr:cNvGrpSpPr>
      </xdr:nvGrpSpPr>
      <xdr:grpSpPr>
        <a:xfrm>
          <a:off x="38100" y="1733550"/>
          <a:ext cx="5229225" cy="981075"/>
          <a:chOff x="-1299" y="-20060"/>
          <a:chExt cx="21000" cy="102"/>
        </a:xfrm>
        <a:solidFill>
          <a:srgbClr val="FFFFFF"/>
        </a:solidFill>
      </xdr:grpSpPr>
      <xdr:grpSp>
        <xdr:nvGrpSpPr>
          <xdr:cNvPr id="11" name="Group 115"/>
          <xdr:cNvGrpSpPr>
            <a:grpSpLocks/>
          </xdr:cNvGrpSpPr>
        </xdr:nvGrpSpPr>
        <xdr:grpSpPr>
          <a:xfrm>
            <a:off x="9285" y="-20059"/>
            <a:ext cx="7014" cy="101"/>
            <a:chOff x="5860000" y="3600000"/>
            <a:chExt cx="3340000" cy="2020000"/>
          </a:xfrm>
          <a:solidFill>
            <a:srgbClr val="FFFFFF"/>
          </a:solidFill>
        </xdr:grpSpPr>
        <xdr:sp>
          <xdr:nvSpPr>
            <xdr:cNvPr id="12" name="Arc 116"/>
            <xdr:cNvSpPr>
              <a:spLocks/>
            </xdr:cNvSpPr>
          </xdr:nvSpPr>
          <xdr:spPr>
            <a:xfrm>
              <a:off x="7540020" y="3600000"/>
              <a:ext cx="1659980" cy="19998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13" name="Arc 117"/>
            <xdr:cNvSpPr>
              <a:spLocks/>
            </xdr:cNvSpPr>
          </xdr:nvSpPr>
          <xdr:spPr>
            <a:xfrm flipH="1">
              <a:off x="5860000" y="3600000"/>
              <a:ext cx="1680020" cy="20200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sp>
        <xdr:nvSpPr>
          <xdr:cNvPr id="14" name="Arc 121"/>
          <xdr:cNvSpPr>
            <a:spLocks/>
          </xdr:cNvSpPr>
        </xdr:nvSpPr>
        <xdr:spPr>
          <a:xfrm flipH="1">
            <a:off x="16299" y="-20060"/>
            <a:ext cx="3402" cy="1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nvGrpSpPr>
          <xdr:cNvPr id="15" name="Group 125"/>
          <xdr:cNvGrpSpPr>
            <a:grpSpLocks/>
          </xdr:cNvGrpSpPr>
        </xdr:nvGrpSpPr>
        <xdr:grpSpPr>
          <a:xfrm>
            <a:off x="2229" y="-20060"/>
            <a:ext cx="7056" cy="101"/>
            <a:chOff x="2500000" y="3580000"/>
            <a:chExt cx="3360000" cy="2020000"/>
          </a:xfrm>
          <a:solidFill>
            <a:srgbClr val="FFFFFF"/>
          </a:solidFill>
        </xdr:grpSpPr>
        <xdr:sp>
          <xdr:nvSpPr>
            <xdr:cNvPr id="16" name="Arc 126"/>
            <xdr:cNvSpPr>
              <a:spLocks/>
            </xdr:cNvSpPr>
          </xdr:nvSpPr>
          <xdr:spPr>
            <a:xfrm>
              <a:off x="4180000" y="3580000"/>
              <a:ext cx="1680000" cy="19998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17" name="Arc 127"/>
            <xdr:cNvSpPr>
              <a:spLocks/>
            </xdr:cNvSpPr>
          </xdr:nvSpPr>
          <xdr:spPr>
            <a:xfrm flipH="1">
              <a:off x="2500000" y="3580000"/>
              <a:ext cx="1680000" cy="20200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sp>
        <xdr:nvSpPr>
          <xdr:cNvPr id="18" name="Arc 128"/>
          <xdr:cNvSpPr>
            <a:spLocks/>
          </xdr:cNvSpPr>
        </xdr:nvSpPr>
        <xdr:spPr>
          <a:xfrm>
            <a:off x="-1299" y="-20059"/>
            <a:ext cx="3528" cy="99"/>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clientData/>
  </xdr:twoCellAnchor>
  <xdr:twoCellAnchor>
    <xdr:from>
      <xdr:col>1</xdr:col>
      <xdr:colOff>0</xdr:colOff>
      <xdr:row>11</xdr:row>
      <xdr:rowOff>0</xdr:rowOff>
    </xdr:from>
    <xdr:to>
      <xdr:col>9</xdr:col>
      <xdr:colOff>19050</xdr:colOff>
      <xdr:row>17</xdr:row>
      <xdr:rowOff>0</xdr:rowOff>
    </xdr:to>
    <xdr:grpSp>
      <xdr:nvGrpSpPr>
        <xdr:cNvPr id="19" name="Group 138"/>
        <xdr:cNvGrpSpPr>
          <a:grpSpLocks/>
        </xdr:cNvGrpSpPr>
      </xdr:nvGrpSpPr>
      <xdr:grpSpPr>
        <a:xfrm>
          <a:off x="38100" y="1733550"/>
          <a:ext cx="5200650" cy="981075"/>
          <a:chOff x="-623" y="-20060"/>
          <a:chExt cx="20541" cy="102"/>
        </a:xfrm>
        <a:solidFill>
          <a:srgbClr val="FFFFFF"/>
        </a:solidFill>
      </xdr:grpSpPr>
      <xdr:grpSp>
        <xdr:nvGrpSpPr>
          <xdr:cNvPr id="20" name="Group 112"/>
          <xdr:cNvGrpSpPr>
            <a:grpSpLocks/>
          </xdr:cNvGrpSpPr>
        </xdr:nvGrpSpPr>
        <xdr:grpSpPr>
          <a:xfrm>
            <a:off x="12374" y="-20059"/>
            <a:ext cx="5043" cy="101"/>
            <a:chOff x="7140000" y="3600000"/>
            <a:chExt cx="2460000" cy="2020000"/>
          </a:xfrm>
          <a:solidFill>
            <a:srgbClr val="FFFFFF"/>
          </a:solidFill>
        </xdr:grpSpPr>
        <xdr:sp>
          <xdr:nvSpPr>
            <xdr:cNvPr id="21" name="Arc 113"/>
            <xdr:cNvSpPr>
              <a:spLocks/>
            </xdr:cNvSpPr>
          </xdr:nvSpPr>
          <xdr:spPr>
            <a:xfrm>
              <a:off x="8400135" y="3600000"/>
              <a:ext cx="1199865" cy="19998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22" name="Arc 114"/>
            <xdr:cNvSpPr>
              <a:spLocks/>
            </xdr:cNvSpPr>
          </xdr:nvSpPr>
          <xdr:spPr>
            <a:xfrm flipH="1">
              <a:off x="7140000" y="3600000"/>
              <a:ext cx="1260135" cy="20200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sp>
        <xdr:nvSpPr>
          <xdr:cNvPr id="23" name="Arc 119"/>
          <xdr:cNvSpPr>
            <a:spLocks/>
          </xdr:cNvSpPr>
        </xdr:nvSpPr>
        <xdr:spPr>
          <a:xfrm>
            <a:off x="-623" y="-20059"/>
            <a:ext cx="2501" cy="99"/>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24" name="Arc 124"/>
          <xdr:cNvSpPr>
            <a:spLocks/>
          </xdr:cNvSpPr>
        </xdr:nvSpPr>
        <xdr:spPr>
          <a:xfrm flipH="1">
            <a:off x="17417" y="-20060"/>
            <a:ext cx="2501" cy="1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nvGrpSpPr>
          <xdr:cNvPr id="25" name="Group 129"/>
          <xdr:cNvGrpSpPr>
            <a:grpSpLocks/>
          </xdr:cNvGrpSpPr>
        </xdr:nvGrpSpPr>
        <xdr:grpSpPr>
          <a:xfrm>
            <a:off x="1878" y="-20059"/>
            <a:ext cx="5084" cy="101"/>
            <a:chOff x="2020000" y="3600000"/>
            <a:chExt cx="2480000" cy="2020000"/>
          </a:xfrm>
          <a:solidFill>
            <a:srgbClr val="FFFFFF"/>
          </a:solidFill>
        </xdr:grpSpPr>
        <xdr:sp>
          <xdr:nvSpPr>
            <xdr:cNvPr id="26" name="Arc 130"/>
            <xdr:cNvSpPr>
              <a:spLocks/>
            </xdr:cNvSpPr>
          </xdr:nvSpPr>
          <xdr:spPr>
            <a:xfrm>
              <a:off x="3300300" y="3600000"/>
              <a:ext cx="1199700" cy="19998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27" name="Arc 131"/>
            <xdr:cNvSpPr>
              <a:spLocks/>
            </xdr:cNvSpPr>
          </xdr:nvSpPr>
          <xdr:spPr>
            <a:xfrm flipH="1">
              <a:off x="2020000" y="3600000"/>
              <a:ext cx="1280300" cy="20200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grpSp>
        <xdr:nvGrpSpPr>
          <xdr:cNvPr id="28" name="Group 132"/>
          <xdr:cNvGrpSpPr>
            <a:grpSpLocks/>
          </xdr:cNvGrpSpPr>
        </xdr:nvGrpSpPr>
        <xdr:grpSpPr>
          <a:xfrm>
            <a:off x="7044" y="-20060"/>
            <a:ext cx="5330" cy="101"/>
            <a:chOff x="4540000" y="3580000"/>
            <a:chExt cx="2600000" cy="2020000"/>
          </a:xfrm>
          <a:solidFill>
            <a:srgbClr val="FFFFFF"/>
          </a:solidFill>
        </xdr:grpSpPr>
        <xdr:sp>
          <xdr:nvSpPr>
            <xdr:cNvPr id="29" name="Arc 133"/>
            <xdr:cNvSpPr>
              <a:spLocks/>
            </xdr:cNvSpPr>
          </xdr:nvSpPr>
          <xdr:spPr>
            <a:xfrm>
              <a:off x="5899800" y="3580000"/>
              <a:ext cx="1240200" cy="19998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30" name="Arc 134"/>
            <xdr:cNvSpPr>
              <a:spLocks/>
            </xdr:cNvSpPr>
          </xdr:nvSpPr>
          <xdr:spPr>
            <a:xfrm flipH="1">
              <a:off x="4540000" y="3580000"/>
              <a:ext cx="1359800" cy="20200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grpSp>
    <xdr:clientData/>
  </xdr:twoCellAnchor>
  <xdr:twoCellAnchor>
    <xdr:from>
      <xdr:col>1</xdr:col>
      <xdr:colOff>19050</xdr:colOff>
      <xdr:row>29</xdr:row>
      <xdr:rowOff>0</xdr:rowOff>
    </xdr:from>
    <xdr:to>
      <xdr:col>9</xdr:col>
      <xdr:colOff>0</xdr:colOff>
      <xdr:row>35</xdr:row>
      <xdr:rowOff>9525</xdr:rowOff>
    </xdr:to>
    <xdr:grpSp>
      <xdr:nvGrpSpPr>
        <xdr:cNvPr id="31" name="Group 174"/>
        <xdr:cNvGrpSpPr>
          <a:grpSpLocks/>
        </xdr:cNvGrpSpPr>
      </xdr:nvGrpSpPr>
      <xdr:grpSpPr>
        <a:xfrm>
          <a:off x="57150" y="4695825"/>
          <a:ext cx="5162550" cy="990600"/>
          <a:chOff x="-1299" y="-78993"/>
          <a:chExt cx="21000" cy="206"/>
        </a:xfrm>
        <a:solidFill>
          <a:srgbClr val="FFFFFF"/>
        </a:solidFill>
      </xdr:grpSpPr>
      <xdr:sp>
        <xdr:nvSpPr>
          <xdr:cNvPr id="32" name="Arc 175"/>
          <xdr:cNvSpPr>
            <a:spLocks/>
          </xdr:cNvSpPr>
        </xdr:nvSpPr>
        <xdr:spPr>
          <a:xfrm>
            <a:off x="-1299" y="-78993"/>
            <a:ext cx="5376" cy="204"/>
          </a:xfrm>
          <a:prstGeom prst="arc">
            <a:avLst/>
          </a:prstGeom>
          <a:noFill/>
          <a:ln w="1714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nvGrpSpPr>
          <xdr:cNvPr id="33" name="Group 176"/>
          <xdr:cNvGrpSpPr>
            <a:grpSpLocks/>
          </xdr:cNvGrpSpPr>
        </xdr:nvGrpSpPr>
        <xdr:grpSpPr>
          <a:xfrm>
            <a:off x="4077" y="-78991"/>
            <a:ext cx="10206" cy="204"/>
            <a:chOff x="3380000" y="13180000"/>
            <a:chExt cx="4860000" cy="2040000"/>
          </a:xfrm>
          <a:solidFill>
            <a:srgbClr val="FFFFFF"/>
          </a:solidFill>
        </xdr:grpSpPr>
        <xdr:sp>
          <xdr:nvSpPr>
            <xdr:cNvPr id="34" name="Arc 177"/>
            <xdr:cNvSpPr>
              <a:spLocks/>
            </xdr:cNvSpPr>
          </xdr:nvSpPr>
          <xdr:spPr>
            <a:xfrm>
              <a:off x="5880470" y="13180000"/>
              <a:ext cx="2359530" cy="2020110"/>
            </a:xfrm>
            <a:prstGeom prst="arc">
              <a:avLst/>
            </a:prstGeom>
            <a:noFill/>
            <a:ln w="1714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35" name="Arc 178"/>
            <xdr:cNvSpPr>
              <a:spLocks/>
            </xdr:cNvSpPr>
          </xdr:nvSpPr>
          <xdr:spPr>
            <a:xfrm flipH="1">
              <a:off x="3380000" y="13180000"/>
              <a:ext cx="2500470" cy="2040000"/>
            </a:xfrm>
            <a:prstGeom prst="arc">
              <a:avLst/>
            </a:prstGeom>
            <a:noFill/>
            <a:ln w="1714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sp>
        <xdr:nvSpPr>
          <xdr:cNvPr id="36" name="Arc 179"/>
          <xdr:cNvSpPr>
            <a:spLocks/>
          </xdr:cNvSpPr>
        </xdr:nvSpPr>
        <xdr:spPr>
          <a:xfrm flipH="1">
            <a:off x="14367" y="-78993"/>
            <a:ext cx="5334" cy="204"/>
          </a:xfrm>
          <a:prstGeom prst="arc">
            <a:avLst/>
          </a:prstGeom>
          <a:noFill/>
          <a:ln w="1714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clientData/>
  </xdr:twoCellAnchor>
  <xdr:twoCellAnchor>
    <xdr:from>
      <xdr:col>1</xdr:col>
      <xdr:colOff>9525</xdr:colOff>
      <xdr:row>29</xdr:row>
      <xdr:rowOff>0</xdr:rowOff>
    </xdr:from>
    <xdr:to>
      <xdr:col>9</xdr:col>
      <xdr:colOff>0</xdr:colOff>
      <xdr:row>35</xdr:row>
      <xdr:rowOff>9525</xdr:rowOff>
    </xdr:to>
    <xdr:grpSp>
      <xdr:nvGrpSpPr>
        <xdr:cNvPr id="37" name="Group 192"/>
        <xdr:cNvGrpSpPr>
          <a:grpSpLocks/>
        </xdr:cNvGrpSpPr>
      </xdr:nvGrpSpPr>
      <xdr:grpSpPr>
        <a:xfrm>
          <a:off x="47625" y="4695825"/>
          <a:ext cx="5172075" cy="990600"/>
          <a:chOff x="-623" y="-78993"/>
          <a:chExt cx="20541" cy="206"/>
        </a:xfrm>
        <a:solidFill>
          <a:srgbClr val="FFFFFF"/>
        </a:solidFill>
      </xdr:grpSpPr>
      <xdr:grpSp>
        <xdr:nvGrpSpPr>
          <xdr:cNvPr id="38" name="Group 193"/>
          <xdr:cNvGrpSpPr>
            <a:grpSpLocks/>
          </xdr:cNvGrpSpPr>
        </xdr:nvGrpSpPr>
        <xdr:grpSpPr>
          <a:xfrm>
            <a:off x="12374" y="-78991"/>
            <a:ext cx="5043" cy="204"/>
            <a:chOff x="7140000" y="13180000"/>
            <a:chExt cx="2460000" cy="2040000"/>
          </a:xfrm>
          <a:solidFill>
            <a:srgbClr val="FFFFFF"/>
          </a:solidFill>
        </xdr:grpSpPr>
        <xdr:sp>
          <xdr:nvSpPr>
            <xdr:cNvPr id="39" name="Arc 194"/>
            <xdr:cNvSpPr>
              <a:spLocks/>
            </xdr:cNvSpPr>
          </xdr:nvSpPr>
          <xdr:spPr>
            <a:xfrm>
              <a:off x="8400135" y="13180000"/>
              <a:ext cx="1199865" cy="202011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40" name="Arc 195"/>
            <xdr:cNvSpPr>
              <a:spLocks/>
            </xdr:cNvSpPr>
          </xdr:nvSpPr>
          <xdr:spPr>
            <a:xfrm flipH="1">
              <a:off x="7140000" y="13180000"/>
              <a:ext cx="1260135" cy="20400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sp>
        <xdr:nvSpPr>
          <xdr:cNvPr id="41" name="Arc 196"/>
          <xdr:cNvSpPr>
            <a:spLocks/>
          </xdr:cNvSpPr>
        </xdr:nvSpPr>
        <xdr:spPr>
          <a:xfrm>
            <a:off x="-623" y="-78991"/>
            <a:ext cx="2501" cy="2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42" name="Arc 197"/>
          <xdr:cNvSpPr>
            <a:spLocks/>
          </xdr:cNvSpPr>
        </xdr:nvSpPr>
        <xdr:spPr>
          <a:xfrm flipH="1">
            <a:off x="17417" y="-78993"/>
            <a:ext cx="2501" cy="202"/>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nvGrpSpPr>
          <xdr:cNvPr id="43" name="Group 198"/>
          <xdr:cNvGrpSpPr>
            <a:grpSpLocks/>
          </xdr:cNvGrpSpPr>
        </xdr:nvGrpSpPr>
        <xdr:grpSpPr>
          <a:xfrm>
            <a:off x="1878" y="-78991"/>
            <a:ext cx="5084" cy="204"/>
            <a:chOff x="2020000" y="13180000"/>
            <a:chExt cx="2480000" cy="2040000"/>
          </a:xfrm>
          <a:solidFill>
            <a:srgbClr val="FFFFFF"/>
          </a:solidFill>
        </xdr:grpSpPr>
        <xdr:sp>
          <xdr:nvSpPr>
            <xdr:cNvPr id="44" name="Arc 199"/>
            <xdr:cNvSpPr>
              <a:spLocks/>
            </xdr:cNvSpPr>
          </xdr:nvSpPr>
          <xdr:spPr>
            <a:xfrm>
              <a:off x="3300300" y="13180000"/>
              <a:ext cx="1199700" cy="202011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45" name="Arc 200"/>
            <xdr:cNvSpPr>
              <a:spLocks/>
            </xdr:cNvSpPr>
          </xdr:nvSpPr>
          <xdr:spPr>
            <a:xfrm flipH="1">
              <a:off x="2020000" y="13180000"/>
              <a:ext cx="1280300" cy="20400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grpSp>
        <xdr:nvGrpSpPr>
          <xdr:cNvPr id="46" name="Group 201"/>
          <xdr:cNvGrpSpPr>
            <a:grpSpLocks/>
          </xdr:cNvGrpSpPr>
        </xdr:nvGrpSpPr>
        <xdr:grpSpPr>
          <a:xfrm>
            <a:off x="7044" y="-78993"/>
            <a:ext cx="5330" cy="204"/>
            <a:chOff x="4540000" y="13160000"/>
            <a:chExt cx="2600000" cy="2040000"/>
          </a:xfrm>
          <a:solidFill>
            <a:srgbClr val="FFFFFF"/>
          </a:solidFill>
        </xdr:grpSpPr>
        <xdr:sp>
          <xdr:nvSpPr>
            <xdr:cNvPr id="47" name="Arc 202"/>
            <xdr:cNvSpPr>
              <a:spLocks/>
            </xdr:cNvSpPr>
          </xdr:nvSpPr>
          <xdr:spPr>
            <a:xfrm>
              <a:off x="5899800" y="13160000"/>
              <a:ext cx="1240200" cy="202011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48" name="Arc 203"/>
            <xdr:cNvSpPr>
              <a:spLocks/>
            </xdr:cNvSpPr>
          </xdr:nvSpPr>
          <xdr:spPr>
            <a:xfrm flipH="1">
              <a:off x="4540000" y="13160000"/>
              <a:ext cx="1359800" cy="20400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grpSp>
    <xdr:clientData/>
  </xdr:twoCellAnchor>
  <xdr:twoCellAnchor>
    <xdr:from>
      <xdr:col>0</xdr:col>
      <xdr:colOff>38100</xdr:colOff>
      <xdr:row>20</xdr:row>
      <xdr:rowOff>19050</xdr:rowOff>
    </xdr:from>
    <xdr:to>
      <xdr:col>9</xdr:col>
      <xdr:colOff>47625</xdr:colOff>
      <xdr:row>26</xdr:row>
      <xdr:rowOff>19050</xdr:rowOff>
    </xdr:to>
    <xdr:grpSp>
      <xdr:nvGrpSpPr>
        <xdr:cNvPr id="49" name="Group 272"/>
        <xdr:cNvGrpSpPr>
          <a:grpSpLocks/>
        </xdr:cNvGrpSpPr>
      </xdr:nvGrpSpPr>
      <xdr:grpSpPr>
        <a:xfrm>
          <a:off x="38100" y="3219450"/>
          <a:ext cx="5229225" cy="1028700"/>
          <a:chOff x="-1299" y="-20060"/>
          <a:chExt cx="21000" cy="102"/>
        </a:xfrm>
        <a:solidFill>
          <a:srgbClr val="FFFFFF"/>
        </a:solidFill>
      </xdr:grpSpPr>
      <xdr:grpSp>
        <xdr:nvGrpSpPr>
          <xdr:cNvPr id="50" name="Group 273"/>
          <xdr:cNvGrpSpPr>
            <a:grpSpLocks/>
          </xdr:cNvGrpSpPr>
        </xdr:nvGrpSpPr>
        <xdr:grpSpPr>
          <a:xfrm>
            <a:off x="9285" y="-20059"/>
            <a:ext cx="7014" cy="101"/>
            <a:chOff x="5860000" y="3600000"/>
            <a:chExt cx="3340000" cy="2020000"/>
          </a:xfrm>
          <a:solidFill>
            <a:srgbClr val="FFFFFF"/>
          </a:solidFill>
        </xdr:grpSpPr>
        <xdr:sp>
          <xdr:nvSpPr>
            <xdr:cNvPr id="51" name="Arc 274"/>
            <xdr:cNvSpPr>
              <a:spLocks/>
            </xdr:cNvSpPr>
          </xdr:nvSpPr>
          <xdr:spPr>
            <a:xfrm>
              <a:off x="7540020" y="3600000"/>
              <a:ext cx="1659980" cy="19998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52" name="Arc 275"/>
            <xdr:cNvSpPr>
              <a:spLocks/>
            </xdr:cNvSpPr>
          </xdr:nvSpPr>
          <xdr:spPr>
            <a:xfrm flipH="1">
              <a:off x="5860000" y="3600000"/>
              <a:ext cx="1680020" cy="20200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sp>
        <xdr:nvSpPr>
          <xdr:cNvPr id="53" name="Arc 276"/>
          <xdr:cNvSpPr>
            <a:spLocks/>
          </xdr:cNvSpPr>
        </xdr:nvSpPr>
        <xdr:spPr>
          <a:xfrm flipH="1">
            <a:off x="16299" y="-20060"/>
            <a:ext cx="3402" cy="1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nvGrpSpPr>
          <xdr:cNvPr id="54" name="Group 277"/>
          <xdr:cNvGrpSpPr>
            <a:grpSpLocks/>
          </xdr:cNvGrpSpPr>
        </xdr:nvGrpSpPr>
        <xdr:grpSpPr>
          <a:xfrm>
            <a:off x="2229" y="-20060"/>
            <a:ext cx="7056" cy="101"/>
            <a:chOff x="2500000" y="3580000"/>
            <a:chExt cx="3360000" cy="2020000"/>
          </a:xfrm>
          <a:solidFill>
            <a:srgbClr val="FFFFFF"/>
          </a:solidFill>
        </xdr:grpSpPr>
        <xdr:sp>
          <xdr:nvSpPr>
            <xdr:cNvPr id="55" name="Arc 278"/>
            <xdr:cNvSpPr>
              <a:spLocks/>
            </xdr:cNvSpPr>
          </xdr:nvSpPr>
          <xdr:spPr>
            <a:xfrm>
              <a:off x="4180000" y="3580000"/>
              <a:ext cx="1680000" cy="19998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56" name="Arc 279"/>
            <xdr:cNvSpPr>
              <a:spLocks/>
            </xdr:cNvSpPr>
          </xdr:nvSpPr>
          <xdr:spPr>
            <a:xfrm flipH="1">
              <a:off x="2500000" y="3580000"/>
              <a:ext cx="1680000" cy="20200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sp>
        <xdr:nvSpPr>
          <xdr:cNvPr id="57" name="Arc 280"/>
          <xdr:cNvSpPr>
            <a:spLocks/>
          </xdr:cNvSpPr>
        </xdr:nvSpPr>
        <xdr:spPr>
          <a:xfrm>
            <a:off x="-1299" y="-20059"/>
            <a:ext cx="3528" cy="99"/>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clientData/>
  </xdr:twoCellAnchor>
  <xdr:twoCellAnchor>
    <xdr:from>
      <xdr:col>1</xdr:col>
      <xdr:colOff>0</xdr:colOff>
      <xdr:row>20</xdr:row>
      <xdr:rowOff>19050</xdr:rowOff>
    </xdr:from>
    <xdr:to>
      <xdr:col>8</xdr:col>
      <xdr:colOff>619125</xdr:colOff>
      <xdr:row>26</xdr:row>
      <xdr:rowOff>9525</xdr:rowOff>
    </xdr:to>
    <xdr:grpSp>
      <xdr:nvGrpSpPr>
        <xdr:cNvPr id="58" name="Group 281"/>
        <xdr:cNvGrpSpPr>
          <a:grpSpLocks/>
        </xdr:cNvGrpSpPr>
      </xdr:nvGrpSpPr>
      <xdr:grpSpPr>
        <a:xfrm>
          <a:off x="38100" y="3219450"/>
          <a:ext cx="5153025" cy="1019175"/>
          <a:chOff x="-623" y="-19931"/>
          <a:chExt cx="20295" cy="200"/>
        </a:xfrm>
        <a:solidFill>
          <a:srgbClr val="FFFFFF"/>
        </a:solidFill>
      </xdr:grpSpPr>
      <xdr:sp>
        <xdr:nvSpPr>
          <xdr:cNvPr id="59" name="Arc 282"/>
          <xdr:cNvSpPr>
            <a:spLocks/>
          </xdr:cNvSpPr>
        </xdr:nvSpPr>
        <xdr:spPr>
          <a:xfrm>
            <a:off x="-623" y="-19931"/>
            <a:ext cx="10371" cy="200"/>
          </a:xfrm>
          <a:prstGeom prst="arc">
            <a:avLst/>
          </a:prstGeom>
          <a:noFill/>
          <a:ln w="17145" cmpd="sng">
            <a:solidFill>
              <a:srgbClr val="0000FF"/>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60" name="Arc 283"/>
          <xdr:cNvSpPr>
            <a:spLocks/>
          </xdr:cNvSpPr>
        </xdr:nvSpPr>
        <xdr:spPr>
          <a:xfrm flipH="1">
            <a:off x="9748" y="-19931"/>
            <a:ext cx="9924" cy="200"/>
          </a:xfrm>
          <a:prstGeom prst="arc">
            <a:avLst/>
          </a:prstGeom>
          <a:noFill/>
          <a:ln w="17145" cmpd="sng">
            <a:solidFill>
              <a:srgbClr val="0000FF"/>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clientData/>
  </xdr:twoCellAnchor>
  <xdr:twoCellAnchor>
    <xdr:from>
      <xdr:col>0</xdr:col>
      <xdr:colOff>38100</xdr:colOff>
      <xdr:row>20</xdr:row>
      <xdr:rowOff>0</xdr:rowOff>
    </xdr:from>
    <xdr:to>
      <xdr:col>8</xdr:col>
      <xdr:colOff>619125</xdr:colOff>
      <xdr:row>26</xdr:row>
      <xdr:rowOff>9525</xdr:rowOff>
    </xdr:to>
    <xdr:grpSp>
      <xdr:nvGrpSpPr>
        <xdr:cNvPr id="61" name="Group 284"/>
        <xdr:cNvGrpSpPr>
          <a:grpSpLocks/>
        </xdr:cNvGrpSpPr>
      </xdr:nvGrpSpPr>
      <xdr:grpSpPr>
        <a:xfrm>
          <a:off x="38100" y="3200400"/>
          <a:ext cx="5153025" cy="1038225"/>
          <a:chOff x="-623" y="-20060"/>
          <a:chExt cx="20541" cy="102"/>
        </a:xfrm>
        <a:solidFill>
          <a:srgbClr val="FFFFFF"/>
        </a:solidFill>
      </xdr:grpSpPr>
      <xdr:grpSp>
        <xdr:nvGrpSpPr>
          <xdr:cNvPr id="62" name="Group 285"/>
          <xdr:cNvGrpSpPr>
            <a:grpSpLocks/>
          </xdr:cNvGrpSpPr>
        </xdr:nvGrpSpPr>
        <xdr:grpSpPr>
          <a:xfrm>
            <a:off x="12374" y="-20059"/>
            <a:ext cx="5043" cy="101"/>
            <a:chOff x="7140000" y="3600000"/>
            <a:chExt cx="2460000" cy="2020000"/>
          </a:xfrm>
          <a:solidFill>
            <a:srgbClr val="FFFFFF"/>
          </a:solidFill>
        </xdr:grpSpPr>
        <xdr:sp>
          <xdr:nvSpPr>
            <xdr:cNvPr id="63" name="Arc 286"/>
            <xdr:cNvSpPr>
              <a:spLocks/>
            </xdr:cNvSpPr>
          </xdr:nvSpPr>
          <xdr:spPr>
            <a:xfrm>
              <a:off x="8400135" y="3600000"/>
              <a:ext cx="1199865" cy="19998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64" name="Arc 287"/>
            <xdr:cNvSpPr>
              <a:spLocks/>
            </xdr:cNvSpPr>
          </xdr:nvSpPr>
          <xdr:spPr>
            <a:xfrm flipH="1">
              <a:off x="7140000" y="3600000"/>
              <a:ext cx="1260135" cy="20200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sp>
        <xdr:nvSpPr>
          <xdr:cNvPr id="65" name="Arc 288"/>
          <xdr:cNvSpPr>
            <a:spLocks/>
          </xdr:cNvSpPr>
        </xdr:nvSpPr>
        <xdr:spPr>
          <a:xfrm>
            <a:off x="-623" y="-20059"/>
            <a:ext cx="2501" cy="99"/>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66" name="Arc 289"/>
          <xdr:cNvSpPr>
            <a:spLocks/>
          </xdr:cNvSpPr>
        </xdr:nvSpPr>
        <xdr:spPr>
          <a:xfrm flipH="1">
            <a:off x="17417" y="-20060"/>
            <a:ext cx="2501" cy="1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nvGrpSpPr>
          <xdr:cNvPr id="67" name="Group 290"/>
          <xdr:cNvGrpSpPr>
            <a:grpSpLocks/>
          </xdr:cNvGrpSpPr>
        </xdr:nvGrpSpPr>
        <xdr:grpSpPr>
          <a:xfrm>
            <a:off x="1878" y="-20059"/>
            <a:ext cx="5084" cy="101"/>
            <a:chOff x="2020000" y="3600000"/>
            <a:chExt cx="2480000" cy="2020000"/>
          </a:xfrm>
          <a:solidFill>
            <a:srgbClr val="FFFFFF"/>
          </a:solidFill>
        </xdr:grpSpPr>
        <xdr:sp>
          <xdr:nvSpPr>
            <xdr:cNvPr id="68" name="Arc 291"/>
            <xdr:cNvSpPr>
              <a:spLocks/>
            </xdr:cNvSpPr>
          </xdr:nvSpPr>
          <xdr:spPr>
            <a:xfrm>
              <a:off x="3300300" y="3600000"/>
              <a:ext cx="1199700" cy="19998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69" name="Arc 292"/>
            <xdr:cNvSpPr>
              <a:spLocks/>
            </xdr:cNvSpPr>
          </xdr:nvSpPr>
          <xdr:spPr>
            <a:xfrm flipH="1">
              <a:off x="2020000" y="3600000"/>
              <a:ext cx="1280300" cy="20200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grpSp>
        <xdr:nvGrpSpPr>
          <xdr:cNvPr id="70" name="Group 293"/>
          <xdr:cNvGrpSpPr>
            <a:grpSpLocks/>
          </xdr:cNvGrpSpPr>
        </xdr:nvGrpSpPr>
        <xdr:grpSpPr>
          <a:xfrm>
            <a:off x="7044" y="-20060"/>
            <a:ext cx="5330" cy="101"/>
            <a:chOff x="4540000" y="3580000"/>
            <a:chExt cx="2600000" cy="2020000"/>
          </a:xfrm>
          <a:solidFill>
            <a:srgbClr val="FFFFFF"/>
          </a:solidFill>
        </xdr:grpSpPr>
        <xdr:sp>
          <xdr:nvSpPr>
            <xdr:cNvPr id="71" name="Arc 294"/>
            <xdr:cNvSpPr>
              <a:spLocks/>
            </xdr:cNvSpPr>
          </xdr:nvSpPr>
          <xdr:spPr>
            <a:xfrm>
              <a:off x="5899800" y="3580000"/>
              <a:ext cx="1240200" cy="19998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72" name="Arc 295"/>
            <xdr:cNvSpPr>
              <a:spLocks/>
            </xdr:cNvSpPr>
          </xdr:nvSpPr>
          <xdr:spPr>
            <a:xfrm flipH="1">
              <a:off x="4540000" y="3580000"/>
              <a:ext cx="1359800" cy="20200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grpSp>
    <xdr:clientData/>
  </xdr:twoCellAnchor>
  <xdr:twoCellAnchor>
    <xdr:from>
      <xdr:col>0</xdr:col>
      <xdr:colOff>38100</xdr:colOff>
      <xdr:row>20</xdr:row>
      <xdr:rowOff>0</xdr:rowOff>
    </xdr:from>
    <xdr:to>
      <xdr:col>8</xdr:col>
      <xdr:colOff>609600</xdr:colOff>
      <xdr:row>26</xdr:row>
      <xdr:rowOff>9525</xdr:rowOff>
    </xdr:to>
    <xdr:grpSp>
      <xdr:nvGrpSpPr>
        <xdr:cNvPr id="73" name="Group 296"/>
        <xdr:cNvGrpSpPr>
          <a:grpSpLocks/>
        </xdr:cNvGrpSpPr>
      </xdr:nvGrpSpPr>
      <xdr:grpSpPr>
        <a:xfrm>
          <a:off x="38100" y="3200400"/>
          <a:ext cx="5143500" cy="1038225"/>
          <a:chOff x="-1299" y="-20060"/>
          <a:chExt cx="21000" cy="102"/>
        </a:xfrm>
        <a:solidFill>
          <a:srgbClr val="FFFFFF"/>
        </a:solidFill>
      </xdr:grpSpPr>
      <xdr:sp>
        <xdr:nvSpPr>
          <xdr:cNvPr id="74" name="Arc 297"/>
          <xdr:cNvSpPr>
            <a:spLocks/>
          </xdr:cNvSpPr>
        </xdr:nvSpPr>
        <xdr:spPr>
          <a:xfrm>
            <a:off x="-1299" y="-20060"/>
            <a:ext cx="5376" cy="101"/>
          </a:xfrm>
          <a:prstGeom prst="arc">
            <a:avLst/>
          </a:prstGeom>
          <a:noFill/>
          <a:ln w="1714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nvGrpSpPr>
          <xdr:cNvPr id="75" name="Group 298"/>
          <xdr:cNvGrpSpPr>
            <a:grpSpLocks/>
          </xdr:cNvGrpSpPr>
        </xdr:nvGrpSpPr>
        <xdr:grpSpPr>
          <a:xfrm>
            <a:off x="4077" y="-20059"/>
            <a:ext cx="10206" cy="101"/>
            <a:chOff x="3380000" y="3600000"/>
            <a:chExt cx="4860000" cy="2020000"/>
          </a:xfrm>
          <a:solidFill>
            <a:srgbClr val="FFFFFF"/>
          </a:solidFill>
        </xdr:grpSpPr>
        <xdr:sp>
          <xdr:nvSpPr>
            <xdr:cNvPr id="76" name="Arc 299"/>
            <xdr:cNvSpPr>
              <a:spLocks/>
            </xdr:cNvSpPr>
          </xdr:nvSpPr>
          <xdr:spPr>
            <a:xfrm>
              <a:off x="5880470" y="3600000"/>
              <a:ext cx="2359530" cy="1999800"/>
            </a:xfrm>
            <a:prstGeom prst="arc">
              <a:avLst/>
            </a:prstGeom>
            <a:noFill/>
            <a:ln w="1714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77" name="Arc 300"/>
            <xdr:cNvSpPr>
              <a:spLocks/>
            </xdr:cNvSpPr>
          </xdr:nvSpPr>
          <xdr:spPr>
            <a:xfrm flipH="1">
              <a:off x="3380000" y="3600000"/>
              <a:ext cx="2500470" cy="2020000"/>
            </a:xfrm>
            <a:prstGeom prst="arc">
              <a:avLst/>
            </a:prstGeom>
            <a:noFill/>
            <a:ln w="1714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sp>
        <xdr:nvSpPr>
          <xdr:cNvPr id="78" name="Arc 301"/>
          <xdr:cNvSpPr>
            <a:spLocks/>
          </xdr:cNvSpPr>
        </xdr:nvSpPr>
        <xdr:spPr>
          <a:xfrm flipH="1">
            <a:off x="14367" y="-20060"/>
            <a:ext cx="5334" cy="101"/>
          </a:xfrm>
          <a:prstGeom prst="arc">
            <a:avLst/>
          </a:prstGeom>
          <a:noFill/>
          <a:ln w="1714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clientData/>
  </xdr:twoCellAnchor>
  <xdr:twoCellAnchor>
    <xdr:from>
      <xdr:col>0</xdr:col>
      <xdr:colOff>38100</xdr:colOff>
      <xdr:row>29</xdr:row>
      <xdr:rowOff>9525</xdr:rowOff>
    </xdr:from>
    <xdr:to>
      <xdr:col>8</xdr:col>
      <xdr:colOff>609600</xdr:colOff>
      <xdr:row>34</xdr:row>
      <xdr:rowOff>152400</xdr:rowOff>
    </xdr:to>
    <xdr:grpSp>
      <xdr:nvGrpSpPr>
        <xdr:cNvPr id="79" name="Group 302"/>
        <xdr:cNvGrpSpPr>
          <a:grpSpLocks/>
        </xdr:cNvGrpSpPr>
      </xdr:nvGrpSpPr>
      <xdr:grpSpPr>
        <a:xfrm>
          <a:off x="38100" y="4705350"/>
          <a:ext cx="5143500" cy="952500"/>
          <a:chOff x="-623" y="-19931"/>
          <a:chExt cx="20295" cy="200"/>
        </a:xfrm>
        <a:solidFill>
          <a:srgbClr val="FFFFFF"/>
        </a:solidFill>
      </xdr:grpSpPr>
      <xdr:sp>
        <xdr:nvSpPr>
          <xdr:cNvPr id="80" name="Arc 303"/>
          <xdr:cNvSpPr>
            <a:spLocks/>
          </xdr:cNvSpPr>
        </xdr:nvSpPr>
        <xdr:spPr>
          <a:xfrm>
            <a:off x="-623" y="-19931"/>
            <a:ext cx="10371" cy="200"/>
          </a:xfrm>
          <a:prstGeom prst="arc">
            <a:avLst/>
          </a:prstGeom>
          <a:noFill/>
          <a:ln w="17145" cmpd="sng">
            <a:solidFill>
              <a:srgbClr val="0000FF"/>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81" name="Arc 304"/>
          <xdr:cNvSpPr>
            <a:spLocks/>
          </xdr:cNvSpPr>
        </xdr:nvSpPr>
        <xdr:spPr>
          <a:xfrm flipH="1">
            <a:off x="9748" y="-19931"/>
            <a:ext cx="9924" cy="200"/>
          </a:xfrm>
          <a:prstGeom prst="arc">
            <a:avLst/>
          </a:prstGeom>
          <a:noFill/>
          <a:ln w="17145" cmpd="sng">
            <a:solidFill>
              <a:srgbClr val="0000FF"/>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clientData/>
  </xdr:twoCellAnchor>
  <xdr:twoCellAnchor>
    <xdr:from>
      <xdr:col>0</xdr:col>
      <xdr:colOff>38100</xdr:colOff>
      <xdr:row>29</xdr:row>
      <xdr:rowOff>0</xdr:rowOff>
    </xdr:from>
    <xdr:to>
      <xdr:col>9</xdr:col>
      <xdr:colOff>47625</xdr:colOff>
      <xdr:row>35</xdr:row>
      <xdr:rowOff>0</xdr:rowOff>
    </xdr:to>
    <xdr:grpSp>
      <xdr:nvGrpSpPr>
        <xdr:cNvPr id="82" name="Group 305"/>
        <xdr:cNvGrpSpPr>
          <a:grpSpLocks/>
        </xdr:cNvGrpSpPr>
      </xdr:nvGrpSpPr>
      <xdr:grpSpPr>
        <a:xfrm>
          <a:off x="38100" y="4695825"/>
          <a:ext cx="5229225" cy="981075"/>
          <a:chOff x="-1299" y="-20060"/>
          <a:chExt cx="21000" cy="102"/>
        </a:xfrm>
        <a:solidFill>
          <a:srgbClr val="FFFFFF"/>
        </a:solidFill>
      </xdr:grpSpPr>
      <xdr:grpSp>
        <xdr:nvGrpSpPr>
          <xdr:cNvPr id="83" name="Group 306"/>
          <xdr:cNvGrpSpPr>
            <a:grpSpLocks/>
          </xdr:cNvGrpSpPr>
        </xdr:nvGrpSpPr>
        <xdr:grpSpPr>
          <a:xfrm>
            <a:off x="9285" y="-20059"/>
            <a:ext cx="7014" cy="101"/>
            <a:chOff x="5860000" y="3600000"/>
            <a:chExt cx="3340000" cy="2020000"/>
          </a:xfrm>
          <a:solidFill>
            <a:srgbClr val="FFFFFF"/>
          </a:solidFill>
        </xdr:grpSpPr>
        <xdr:sp>
          <xdr:nvSpPr>
            <xdr:cNvPr id="84" name="Arc 307"/>
            <xdr:cNvSpPr>
              <a:spLocks/>
            </xdr:cNvSpPr>
          </xdr:nvSpPr>
          <xdr:spPr>
            <a:xfrm>
              <a:off x="7540020" y="3600000"/>
              <a:ext cx="1659980" cy="19998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85" name="Arc 308"/>
            <xdr:cNvSpPr>
              <a:spLocks/>
            </xdr:cNvSpPr>
          </xdr:nvSpPr>
          <xdr:spPr>
            <a:xfrm flipH="1">
              <a:off x="5860000" y="3600000"/>
              <a:ext cx="1680020" cy="20200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sp>
        <xdr:nvSpPr>
          <xdr:cNvPr id="86" name="Arc 309"/>
          <xdr:cNvSpPr>
            <a:spLocks/>
          </xdr:cNvSpPr>
        </xdr:nvSpPr>
        <xdr:spPr>
          <a:xfrm flipH="1">
            <a:off x="16299" y="-20060"/>
            <a:ext cx="3402" cy="1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nvGrpSpPr>
          <xdr:cNvPr id="87" name="Group 310"/>
          <xdr:cNvGrpSpPr>
            <a:grpSpLocks/>
          </xdr:cNvGrpSpPr>
        </xdr:nvGrpSpPr>
        <xdr:grpSpPr>
          <a:xfrm>
            <a:off x="2229" y="-20060"/>
            <a:ext cx="7056" cy="101"/>
            <a:chOff x="2500000" y="3580000"/>
            <a:chExt cx="3360000" cy="2020000"/>
          </a:xfrm>
          <a:solidFill>
            <a:srgbClr val="FFFFFF"/>
          </a:solidFill>
        </xdr:grpSpPr>
        <xdr:sp>
          <xdr:nvSpPr>
            <xdr:cNvPr id="88" name="Arc 311"/>
            <xdr:cNvSpPr>
              <a:spLocks/>
            </xdr:cNvSpPr>
          </xdr:nvSpPr>
          <xdr:spPr>
            <a:xfrm>
              <a:off x="4180000" y="3580000"/>
              <a:ext cx="1680000" cy="19998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89" name="Arc 312"/>
            <xdr:cNvSpPr>
              <a:spLocks/>
            </xdr:cNvSpPr>
          </xdr:nvSpPr>
          <xdr:spPr>
            <a:xfrm flipH="1">
              <a:off x="2500000" y="3580000"/>
              <a:ext cx="1680000" cy="20200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sp>
        <xdr:nvSpPr>
          <xdr:cNvPr id="90" name="Arc 313"/>
          <xdr:cNvSpPr>
            <a:spLocks/>
          </xdr:cNvSpPr>
        </xdr:nvSpPr>
        <xdr:spPr>
          <a:xfrm>
            <a:off x="-1299" y="-20059"/>
            <a:ext cx="3528" cy="99"/>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clientData/>
  </xdr:twoCellAnchor>
  <xdr:twoCellAnchor editAs="oneCell">
    <xdr:from>
      <xdr:col>10</xdr:col>
      <xdr:colOff>171450</xdr:colOff>
      <xdr:row>34</xdr:row>
      <xdr:rowOff>47625</xdr:rowOff>
    </xdr:from>
    <xdr:to>
      <xdr:col>10</xdr:col>
      <xdr:colOff>2114550</xdr:colOff>
      <xdr:row>36</xdr:row>
      <xdr:rowOff>142875</xdr:rowOff>
    </xdr:to>
    <xdr:pic>
      <xdr:nvPicPr>
        <xdr:cNvPr id="91" name="Picture 316"/>
        <xdr:cNvPicPr preferRelativeResize="1">
          <a:picLocks noChangeAspect="1"/>
        </xdr:cNvPicPr>
      </xdr:nvPicPr>
      <xdr:blipFill>
        <a:blip r:embed="rId1"/>
        <a:stretch>
          <a:fillRect/>
        </a:stretch>
      </xdr:blipFill>
      <xdr:spPr>
        <a:xfrm>
          <a:off x="5438775" y="5553075"/>
          <a:ext cx="1943100" cy="428625"/>
        </a:xfrm>
        <a:prstGeom prst="rect">
          <a:avLst/>
        </a:prstGeom>
        <a:noFill/>
        <a:ln w="9525" cmpd="sng">
          <a:noFill/>
        </a:ln>
      </xdr:spPr>
    </xdr:pic>
    <xdr:clientData/>
  </xdr:twoCellAnchor>
  <xdr:twoCellAnchor editAs="oneCell">
    <xdr:from>
      <xdr:col>10</xdr:col>
      <xdr:colOff>2200275</xdr:colOff>
      <xdr:row>31</xdr:row>
      <xdr:rowOff>0</xdr:rowOff>
    </xdr:from>
    <xdr:to>
      <xdr:col>10</xdr:col>
      <xdr:colOff>2790825</xdr:colOff>
      <xdr:row>36</xdr:row>
      <xdr:rowOff>28575</xdr:rowOff>
    </xdr:to>
    <xdr:pic>
      <xdr:nvPicPr>
        <xdr:cNvPr id="92" name="Picture 317"/>
        <xdr:cNvPicPr preferRelativeResize="1">
          <a:picLocks noChangeAspect="1"/>
        </xdr:cNvPicPr>
      </xdr:nvPicPr>
      <xdr:blipFill>
        <a:blip r:embed="rId2"/>
        <a:stretch>
          <a:fillRect/>
        </a:stretch>
      </xdr:blipFill>
      <xdr:spPr>
        <a:xfrm>
          <a:off x="7467600" y="5019675"/>
          <a:ext cx="590550" cy="847725"/>
        </a:xfrm>
        <a:prstGeom prst="rect">
          <a:avLst/>
        </a:prstGeom>
        <a:noFill/>
        <a:ln w="9525" cmpd="sng">
          <a:noFill/>
        </a:ln>
      </xdr:spPr>
    </xdr:pic>
    <xdr:clientData/>
  </xdr:twoCellAnchor>
  <xdr:twoCellAnchor editAs="oneCell">
    <xdr:from>
      <xdr:col>10</xdr:col>
      <xdr:colOff>2867025</xdr:colOff>
      <xdr:row>31</xdr:row>
      <xdr:rowOff>85725</xdr:rowOff>
    </xdr:from>
    <xdr:to>
      <xdr:col>11</xdr:col>
      <xdr:colOff>38100</xdr:colOff>
      <xdr:row>35</xdr:row>
      <xdr:rowOff>76200</xdr:rowOff>
    </xdr:to>
    <xdr:pic>
      <xdr:nvPicPr>
        <xdr:cNvPr id="93" name="Picture 318"/>
        <xdr:cNvPicPr preferRelativeResize="1">
          <a:picLocks noChangeAspect="1"/>
        </xdr:cNvPicPr>
      </xdr:nvPicPr>
      <xdr:blipFill>
        <a:blip r:embed="rId3"/>
        <a:srcRect b="17808"/>
        <a:stretch>
          <a:fillRect/>
        </a:stretch>
      </xdr:blipFill>
      <xdr:spPr>
        <a:xfrm>
          <a:off x="8134350" y="5105400"/>
          <a:ext cx="790575" cy="647700"/>
        </a:xfrm>
        <a:prstGeom prst="rect">
          <a:avLst/>
        </a:prstGeom>
        <a:noFill/>
        <a:ln w="9525" cmpd="sng">
          <a:noFill/>
        </a:ln>
      </xdr:spPr>
    </xdr:pic>
    <xdr:clientData/>
  </xdr:twoCellAnchor>
  <xdr:twoCellAnchor editAs="oneCell">
    <xdr:from>
      <xdr:col>10</xdr:col>
      <xdr:colOff>228600</xdr:colOff>
      <xdr:row>30</xdr:row>
      <xdr:rowOff>104775</xdr:rowOff>
    </xdr:from>
    <xdr:to>
      <xdr:col>10</xdr:col>
      <xdr:colOff>2000250</xdr:colOff>
      <xdr:row>33</xdr:row>
      <xdr:rowOff>114300</xdr:rowOff>
    </xdr:to>
    <xdr:pic>
      <xdr:nvPicPr>
        <xdr:cNvPr id="94" name="Picture 319"/>
        <xdr:cNvPicPr preferRelativeResize="1">
          <a:picLocks noChangeAspect="1"/>
        </xdr:cNvPicPr>
      </xdr:nvPicPr>
      <xdr:blipFill>
        <a:blip r:embed="rId4"/>
        <a:stretch>
          <a:fillRect/>
        </a:stretch>
      </xdr:blipFill>
      <xdr:spPr>
        <a:xfrm>
          <a:off x="5495925" y="4962525"/>
          <a:ext cx="177165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66675</xdr:rowOff>
    </xdr:from>
    <xdr:to>
      <xdr:col>12</xdr:col>
      <xdr:colOff>504825</xdr:colOff>
      <xdr:row>27</xdr:row>
      <xdr:rowOff>19050</xdr:rowOff>
    </xdr:to>
    <xdr:graphicFrame>
      <xdr:nvGraphicFramePr>
        <xdr:cNvPr id="1" name="Chart 1"/>
        <xdr:cNvGraphicFramePr/>
      </xdr:nvGraphicFramePr>
      <xdr:xfrm>
        <a:off x="609600" y="1400175"/>
        <a:ext cx="7324725" cy="3028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285750</xdr:colOff>
      <xdr:row>4</xdr:row>
      <xdr:rowOff>85725</xdr:rowOff>
    </xdr:from>
    <xdr:to>
      <xdr:col>3</xdr:col>
      <xdr:colOff>400050</xdr:colOff>
      <xdr:row>7</xdr:row>
      <xdr:rowOff>28575</xdr:rowOff>
    </xdr:to>
    <xdr:pic>
      <xdr:nvPicPr>
        <xdr:cNvPr id="2" name="Picture 2"/>
        <xdr:cNvPicPr preferRelativeResize="1">
          <a:picLocks noChangeAspect="1"/>
        </xdr:cNvPicPr>
      </xdr:nvPicPr>
      <xdr:blipFill>
        <a:blip r:embed="rId2"/>
        <a:stretch>
          <a:fillRect/>
        </a:stretch>
      </xdr:blipFill>
      <xdr:spPr>
        <a:xfrm>
          <a:off x="285750" y="771525"/>
          <a:ext cx="1943100" cy="428625"/>
        </a:xfrm>
        <a:prstGeom prst="rect">
          <a:avLst/>
        </a:prstGeom>
        <a:noFill/>
        <a:ln w="9525" cmpd="sng">
          <a:noFill/>
        </a:ln>
      </xdr:spPr>
    </xdr:pic>
    <xdr:clientData/>
  </xdr:twoCellAnchor>
  <xdr:twoCellAnchor editAs="oneCell">
    <xdr:from>
      <xdr:col>10</xdr:col>
      <xdr:colOff>85725</xdr:colOff>
      <xdr:row>0</xdr:row>
      <xdr:rowOff>85725</xdr:rowOff>
    </xdr:from>
    <xdr:to>
      <xdr:col>11</xdr:col>
      <xdr:colOff>66675</xdr:colOff>
      <xdr:row>5</xdr:row>
      <xdr:rowOff>85725</xdr:rowOff>
    </xdr:to>
    <xdr:pic>
      <xdr:nvPicPr>
        <xdr:cNvPr id="3" name="Picture 3"/>
        <xdr:cNvPicPr preferRelativeResize="1">
          <a:picLocks noChangeAspect="1"/>
        </xdr:cNvPicPr>
      </xdr:nvPicPr>
      <xdr:blipFill>
        <a:blip r:embed="rId3"/>
        <a:stretch>
          <a:fillRect/>
        </a:stretch>
      </xdr:blipFill>
      <xdr:spPr>
        <a:xfrm>
          <a:off x="6296025" y="85725"/>
          <a:ext cx="590550" cy="847725"/>
        </a:xfrm>
        <a:prstGeom prst="rect">
          <a:avLst/>
        </a:prstGeom>
        <a:noFill/>
        <a:ln w="9525" cmpd="sng">
          <a:noFill/>
        </a:ln>
      </xdr:spPr>
    </xdr:pic>
    <xdr:clientData/>
  </xdr:twoCellAnchor>
  <xdr:twoCellAnchor editAs="oneCell">
    <xdr:from>
      <xdr:col>11</xdr:col>
      <xdr:colOff>161925</xdr:colOff>
      <xdr:row>4</xdr:row>
      <xdr:rowOff>9525</xdr:rowOff>
    </xdr:from>
    <xdr:to>
      <xdr:col>12</xdr:col>
      <xdr:colOff>247650</xdr:colOff>
      <xdr:row>8</xdr:row>
      <xdr:rowOff>57150</xdr:rowOff>
    </xdr:to>
    <xdr:pic>
      <xdr:nvPicPr>
        <xdr:cNvPr id="4" name="Picture 4"/>
        <xdr:cNvPicPr preferRelativeResize="1">
          <a:picLocks noChangeAspect="1"/>
        </xdr:cNvPicPr>
      </xdr:nvPicPr>
      <xdr:blipFill>
        <a:blip r:embed="rId4"/>
        <a:stretch>
          <a:fillRect/>
        </a:stretch>
      </xdr:blipFill>
      <xdr:spPr>
        <a:xfrm>
          <a:off x="6981825" y="695325"/>
          <a:ext cx="695325" cy="695325"/>
        </a:xfrm>
        <a:prstGeom prst="rect">
          <a:avLst/>
        </a:prstGeom>
        <a:noFill/>
        <a:ln w="9525" cmpd="sng">
          <a:noFill/>
        </a:ln>
      </xdr:spPr>
    </xdr:pic>
    <xdr:clientData/>
  </xdr:twoCellAnchor>
  <xdr:twoCellAnchor editAs="oneCell">
    <xdr:from>
      <xdr:col>0</xdr:col>
      <xdr:colOff>342900</xdr:colOff>
      <xdr:row>0</xdr:row>
      <xdr:rowOff>85725</xdr:rowOff>
    </xdr:from>
    <xdr:to>
      <xdr:col>3</xdr:col>
      <xdr:colOff>285750</xdr:colOff>
      <xdr:row>3</xdr:row>
      <xdr:rowOff>57150</xdr:rowOff>
    </xdr:to>
    <xdr:pic>
      <xdr:nvPicPr>
        <xdr:cNvPr id="5" name="Picture 5"/>
        <xdr:cNvPicPr preferRelativeResize="1">
          <a:picLocks noChangeAspect="1"/>
        </xdr:cNvPicPr>
      </xdr:nvPicPr>
      <xdr:blipFill>
        <a:blip r:embed="rId5"/>
        <a:stretch>
          <a:fillRect/>
        </a:stretch>
      </xdr:blipFill>
      <xdr:spPr>
        <a:xfrm>
          <a:off x="342900" y="85725"/>
          <a:ext cx="177165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K38"/>
  <sheetViews>
    <sheetView showGridLines="0" tabSelected="1" showOutlineSymbols="0" defaultGridColor="0" zoomScale="85" zoomScaleNormal="85" colorId="8" workbookViewId="0" topLeftCell="A1">
      <selection activeCell="D6" sqref="D6"/>
    </sheetView>
  </sheetViews>
  <sheetFormatPr defaultColWidth="9.140625" defaultRowHeight="12.75"/>
  <cols>
    <col min="1" max="1" width="0.5625" style="0" customWidth="1"/>
    <col min="2" max="2" width="9.7109375" style="1" customWidth="1"/>
    <col min="3" max="6" width="9.7109375" style="2" customWidth="1"/>
    <col min="7" max="9" width="9.7109375" style="0" customWidth="1"/>
    <col min="10" max="10" width="0.71875" style="0" customWidth="1"/>
    <col min="11" max="11" width="54.28125" style="0" customWidth="1"/>
  </cols>
  <sheetData>
    <row r="1" ht="3" customHeight="1" thickBot="1" thickTop="1">
      <c r="K1" s="13"/>
    </row>
    <row r="2" spans="2:11" ht="17.25" thickBot="1" thickTop="1">
      <c r="B2" s="112" t="s">
        <v>14</v>
      </c>
      <c r="C2" s="113"/>
      <c r="D2" s="113"/>
      <c r="E2" s="113"/>
      <c r="F2" s="113"/>
      <c r="G2" s="113"/>
      <c r="H2" s="113"/>
      <c r="I2" s="114"/>
      <c r="K2" s="102" t="s">
        <v>60</v>
      </c>
    </row>
    <row r="3" spans="2:11" ht="12.75">
      <c r="B3" s="118" t="s">
        <v>13</v>
      </c>
      <c r="C3" s="119"/>
      <c r="D3" s="119"/>
      <c r="E3" s="120"/>
      <c r="F3" s="43" t="s">
        <v>0</v>
      </c>
      <c r="G3" s="109" t="s">
        <v>1</v>
      </c>
      <c r="H3" s="110" t="s">
        <v>2</v>
      </c>
      <c r="I3" s="98" t="s">
        <v>3</v>
      </c>
      <c r="K3" s="14" t="s">
        <v>16</v>
      </c>
    </row>
    <row r="4" spans="2:11" ht="12.75">
      <c r="B4" s="44" t="s">
        <v>4</v>
      </c>
      <c r="C4" s="11">
        <v>8</v>
      </c>
      <c r="D4" s="95">
        <v>0</v>
      </c>
      <c r="E4" s="45"/>
      <c r="F4" s="46">
        <f>$D$8/((C4)+D4/12)/2</f>
        <v>70.625</v>
      </c>
      <c r="G4" s="48">
        <f>$D$8/(($C4)+$D4/12)</f>
        <v>141.25</v>
      </c>
      <c r="H4" s="47">
        <f>$D$8/(($C4)+$D4/12)*1.5</f>
        <v>211.875</v>
      </c>
      <c r="I4" s="99">
        <f>$D$8/(($C4)+$D4/12)*2</f>
        <v>282.5</v>
      </c>
      <c r="K4" s="15" t="s">
        <v>62</v>
      </c>
    </row>
    <row r="5" spans="2:11" ht="12.75">
      <c r="B5" s="44"/>
      <c r="C5" s="11"/>
      <c r="D5" s="95"/>
      <c r="E5" s="45"/>
      <c r="F5" s="46"/>
      <c r="G5" s="48"/>
      <c r="H5" s="47"/>
      <c r="I5" s="99"/>
      <c r="K5" s="15" t="s">
        <v>61</v>
      </c>
    </row>
    <row r="6" spans="2:11" ht="12.75">
      <c r="B6" s="49" t="s">
        <v>5</v>
      </c>
      <c r="C6" s="9">
        <v>20</v>
      </c>
      <c r="D6" s="96">
        <v>2</v>
      </c>
      <c r="E6" s="50"/>
      <c r="F6" s="46">
        <f>D8/((C6)+D6/12)/2</f>
        <v>28.016528925619834</v>
      </c>
      <c r="G6" s="48">
        <f>$D$8/(($C6)+$D6/12)</f>
        <v>56.03305785123967</v>
      </c>
      <c r="H6" s="47">
        <f>$D$8/(($C6)+$D6/12)*1.5</f>
        <v>84.0495867768595</v>
      </c>
      <c r="I6" s="99">
        <f>$D$8/(($C6)+$D6/12)*2</f>
        <v>112.06611570247934</v>
      </c>
      <c r="K6" s="14" t="s">
        <v>17</v>
      </c>
    </row>
    <row r="7" spans="2:11" ht="13.5" thickBot="1">
      <c r="B7" s="51" t="s">
        <v>6</v>
      </c>
      <c r="C7" s="10">
        <v>24</v>
      </c>
      <c r="D7" s="97">
        <v>0</v>
      </c>
      <c r="E7" s="52"/>
      <c r="F7" s="53">
        <f>D8/((C7)+D7/12)/2</f>
        <v>23.541666666666668</v>
      </c>
      <c r="G7" s="55">
        <f>$D$8/(($C7)+$D7/12)</f>
        <v>47.083333333333336</v>
      </c>
      <c r="H7" s="54">
        <f>$D$8/(($C7)+$D7/12)*1.5</f>
        <v>70.625</v>
      </c>
      <c r="I7" s="100">
        <f>$D$8/(($C7)+$D7/12)*2</f>
        <v>94.16666666666667</v>
      </c>
      <c r="K7" s="15" t="s">
        <v>33</v>
      </c>
    </row>
    <row r="8" spans="2:11" ht="12.75">
      <c r="B8" s="56"/>
      <c r="C8" s="57" t="s">
        <v>15</v>
      </c>
      <c r="D8" s="12">
        <v>1130</v>
      </c>
      <c r="E8" s="123" t="s">
        <v>53</v>
      </c>
      <c r="F8" s="124"/>
      <c r="G8" s="125" t="s">
        <v>52</v>
      </c>
      <c r="H8" s="126"/>
      <c r="I8" s="127"/>
      <c r="K8" s="15" t="s">
        <v>32</v>
      </c>
    </row>
    <row r="9" spans="2:11" ht="12.75">
      <c r="B9" s="59"/>
      <c r="C9" s="60" t="s">
        <v>7</v>
      </c>
      <c r="D9" s="61">
        <f>(C4*12+D4)*(C6*12+D6)*(C7*12+D7)/1728</f>
        <v>3872</v>
      </c>
      <c r="E9" s="62" t="s">
        <v>12</v>
      </c>
      <c r="F9" s="63"/>
      <c r="G9" s="64"/>
      <c r="H9" s="64"/>
      <c r="I9" s="65"/>
      <c r="K9" s="15" t="s">
        <v>31</v>
      </c>
    </row>
    <row r="10" spans="2:11" ht="13.5" thickBot="1">
      <c r="B10" s="121" t="s">
        <v>59</v>
      </c>
      <c r="C10" s="122"/>
      <c r="D10" s="122"/>
      <c r="E10" s="122"/>
      <c r="F10" s="122"/>
      <c r="G10" s="122"/>
      <c r="H10" s="116" t="s">
        <v>54</v>
      </c>
      <c r="I10" s="117"/>
      <c r="J10" s="1"/>
      <c r="K10" s="16" t="s">
        <v>30</v>
      </c>
    </row>
    <row r="11" spans="2:11" ht="12.75">
      <c r="B11" s="66" t="s">
        <v>8</v>
      </c>
      <c r="C11" s="67"/>
      <c r="D11" s="67"/>
      <c r="E11" s="115" t="s">
        <v>9</v>
      </c>
      <c r="F11" s="115"/>
      <c r="G11" s="67"/>
      <c r="H11" s="68">
        <f>C7</f>
        <v>24</v>
      </c>
      <c r="I11" s="69">
        <f>D7</f>
        <v>0</v>
      </c>
      <c r="K11" s="15" t="s">
        <v>18</v>
      </c>
    </row>
    <row r="12" spans="2:11" ht="12.75">
      <c r="B12" s="70"/>
      <c r="C12" s="71"/>
      <c r="D12" s="71"/>
      <c r="E12" s="71"/>
      <c r="F12" s="71"/>
      <c r="G12" s="71"/>
      <c r="H12" s="71"/>
      <c r="I12" s="58"/>
      <c r="K12" s="15" t="s">
        <v>19</v>
      </c>
    </row>
    <row r="13" spans="2:11" ht="12.75">
      <c r="B13" s="56"/>
      <c r="C13" s="72"/>
      <c r="D13" s="72"/>
      <c r="E13" s="72"/>
      <c r="F13" s="72"/>
      <c r="G13" s="71"/>
      <c r="H13" s="71"/>
      <c r="I13" s="58"/>
      <c r="J13" s="1"/>
      <c r="K13" s="15" t="s">
        <v>20</v>
      </c>
    </row>
    <row r="14" spans="2:11" ht="12.75">
      <c r="B14" s="56"/>
      <c r="C14" s="72"/>
      <c r="D14" s="72"/>
      <c r="E14" s="72"/>
      <c r="F14" s="72"/>
      <c r="G14" s="71"/>
      <c r="H14" s="71"/>
      <c r="I14" s="58"/>
      <c r="J14" s="5"/>
      <c r="K14" s="15" t="s">
        <v>29</v>
      </c>
    </row>
    <row r="15" spans="2:11" ht="12.75">
      <c r="B15" s="56"/>
      <c r="C15" s="72"/>
      <c r="D15" s="72"/>
      <c r="E15" s="72"/>
      <c r="F15" s="72"/>
      <c r="G15" s="71"/>
      <c r="H15" s="71"/>
      <c r="I15" s="58"/>
      <c r="K15" s="15" t="s">
        <v>28</v>
      </c>
    </row>
    <row r="16" spans="2:11" ht="12.75">
      <c r="B16" s="56"/>
      <c r="C16" s="72"/>
      <c r="D16" s="72"/>
      <c r="E16" s="72"/>
      <c r="F16" s="72"/>
      <c r="G16" s="71"/>
      <c r="H16" s="72"/>
      <c r="I16" s="58"/>
      <c r="K16" s="15" t="s">
        <v>27</v>
      </c>
    </row>
    <row r="17" spans="2:11" ht="13.5" thickBot="1">
      <c r="B17" s="73"/>
      <c r="C17" s="74"/>
      <c r="D17" s="74"/>
      <c r="E17" s="74"/>
      <c r="F17" s="74"/>
      <c r="G17" s="75"/>
      <c r="H17" s="75"/>
      <c r="I17" s="76"/>
      <c r="J17" s="3"/>
      <c r="K17" s="15" t="s">
        <v>26</v>
      </c>
    </row>
    <row r="18" spans="2:11" ht="12.75">
      <c r="B18" s="103">
        <f>($D$8/I7)*0.25</f>
        <v>3</v>
      </c>
      <c r="C18" s="77">
        <f>($D$8/$G7)*0.167</f>
        <v>4.008</v>
      </c>
      <c r="D18" s="78">
        <f>C7/4</f>
        <v>6</v>
      </c>
      <c r="E18" s="105">
        <f>(($D$8/$I$7)*0.5)+$B18</f>
        <v>9</v>
      </c>
      <c r="F18" s="79">
        <f>($C7+($D7/12))*0.5</f>
        <v>12</v>
      </c>
      <c r="G18" s="105">
        <f>(($D$8/$I7)*0.5)+$E18</f>
        <v>15</v>
      </c>
      <c r="H18" s="78">
        <f>C7-D18</f>
        <v>18</v>
      </c>
      <c r="I18" s="106">
        <f>(($D$8/$I7)*1.5)+B18</f>
        <v>21</v>
      </c>
      <c r="J18" s="1"/>
      <c r="K18" s="17" t="s">
        <v>21</v>
      </c>
    </row>
    <row r="19" spans="2:11" s="7" customFormat="1" ht="12" customHeight="1" thickBot="1">
      <c r="B19" s="104">
        <f>I7</f>
        <v>94.16666666666667</v>
      </c>
      <c r="C19" s="80">
        <f>H7</f>
        <v>70.625</v>
      </c>
      <c r="D19" s="81">
        <f>G7</f>
        <v>47.083333333333336</v>
      </c>
      <c r="E19" s="82"/>
      <c r="F19" s="83">
        <f>F7</f>
        <v>23.541666666666668</v>
      </c>
      <c r="G19" s="82"/>
      <c r="H19" s="84">
        <f>($D$8/$H7)+$C18</f>
        <v>20.008</v>
      </c>
      <c r="I19" s="85"/>
      <c r="J19" s="8"/>
      <c r="K19" s="15" t="s">
        <v>23</v>
      </c>
    </row>
    <row r="20" spans="2:11" ht="13.5" customHeight="1">
      <c r="B20" s="66" t="s">
        <v>8</v>
      </c>
      <c r="C20" s="67"/>
      <c r="D20" s="67"/>
      <c r="E20" s="115" t="s">
        <v>10</v>
      </c>
      <c r="F20" s="115"/>
      <c r="G20" s="67"/>
      <c r="H20" s="68">
        <f>C6</f>
        <v>20</v>
      </c>
      <c r="I20" s="69">
        <f>D6</f>
        <v>2</v>
      </c>
      <c r="J20" s="5"/>
      <c r="K20" s="15" t="s">
        <v>24</v>
      </c>
    </row>
    <row r="21" spans="2:11" ht="15" customHeight="1">
      <c r="B21" s="56"/>
      <c r="C21" s="72"/>
      <c r="D21" s="72"/>
      <c r="E21" s="72"/>
      <c r="F21" s="72"/>
      <c r="G21" s="71"/>
      <c r="H21" s="71"/>
      <c r="I21" s="58"/>
      <c r="K21" s="15" t="s">
        <v>22</v>
      </c>
    </row>
    <row r="22" spans="2:11" ht="12.75">
      <c r="B22" s="56"/>
      <c r="C22" s="72"/>
      <c r="D22" s="72"/>
      <c r="E22" s="71"/>
      <c r="F22" s="71"/>
      <c r="G22" s="71"/>
      <c r="H22" s="71"/>
      <c r="I22" s="58"/>
      <c r="K22" s="17" t="s">
        <v>25</v>
      </c>
    </row>
    <row r="23" spans="2:11" ht="13.5" thickBot="1">
      <c r="B23" s="56"/>
      <c r="C23" s="72"/>
      <c r="D23" s="72"/>
      <c r="E23" s="72"/>
      <c r="F23" s="72"/>
      <c r="G23" s="71"/>
      <c r="H23" s="71"/>
      <c r="I23" s="58"/>
      <c r="K23" s="101"/>
    </row>
    <row r="24" spans="2:10" ht="13.5" thickTop="1">
      <c r="B24" s="56"/>
      <c r="C24" s="72"/>
      <c r="D24" s="72"/>
      <c r="E24" s="72"/>
      <c r="F24" s="72"/>
      <c r="G24" s="71"/>
      <c r="H24" s="71"/>
      <c r="I24" s="58"/>
      <c r="J24" s="1"/>
    </row>
    <row r="25" spans="2:11" ht="12.75">
      <c r="B25" s="56"/>
      <c r="C25" s="72"/>
      <c r="D25" s="72"/>
      <c r="E25" s="72"/>
      <c r="F25" s="72"/>
      <c r="G25" s="71"/>
      <c r="H25" s="71"/>
      <c r="I25" s="58"/>
      <c r="K25" s="111" t="s">
        <v>55</v>
      </c>
    </row>
    <row r="26" spans="2:11" ht="13.5" thickBot="1">
      <c r="B26" s="73"/>
      <c r="C26" s="74"/>
      <c r="D26" s="74"/>
      <c r="E26" s="74"/>
      <c r="F26" s="74"/>
      <c r="G26" s="75"/>
      <c r="H26" s="75"/>
      <c r="I26" s="86"/>
      <c r="K26" s="111" t="s">
        <v>58</v>
      </c>
    </row>
    <row r="27" spans="2:9" ht="12" customHeight="1">
      <c r="B27" s="103">
        <f>($D$8/I6)*0.25</f>
        <v>2.5208333333333335</v>
      </c>
      <c r="C27" s="77">
        <f>($D$8/$G6)*0.167</f>
        <v>3.367833333333334</v>
      </c>
      <c r="D27" s="78">
        <f>C6/4</f>
        <v>5</v>
      </c>
      <c r="E27" s="105">
        <f>(($D$8/$I6)*0.5)+$B27</f>
        <v>7.5625</v>
      </c>
      <c r="F27" s="79">
        <f>($C6+($D6/12))*0.5</f>
        <v>10.083333333333334</v>
      </c>
      <c r="G27" s="105">
        <f>(($D$8/$I6)*0.5)+$E27</f>
        <v>12.604166666666668</v>
      </c>
      <c r="H27" s="78">
        <f>C6-D27</f>
        <v>15</v>
      </c>
      <c r="I27" s="106">
        <f>(($D$8/$I6)*1.5)+$B27</f>
        <v>17.645833333333332</v>
      </c>
    </row>
    <row r="28" spans="2:11" ht="12" customHeight="1" thickBot="1">
      <c r="B28" s="104">
        <f>I6</f>
        <v>112.06611570247934</v>
      </c>
      <c r="C28" s="80">
        <f>H6</f>
        <v>84.0495867768595</v>
      </c>
      <c r="D28" s="81">
        <f>G6</f>
        <v>56.03305785123967</v>
      </c>
      <c r="E28" s="107">
        <f>I6</f>
        <v>112.06611570247934</v>
      </c>
      <c r="F28" s="83">
        <f>F6</f>
        <v>28.016528925619834</v>
      </c>
      <c r="G28" s="82"/>
      <c r="H28" s="84">
        <f>($D$8/$H6)+$C27</f>
        <v>16.81227777777778</v>
      </c>
      <c r="I28" s="85"/>
      <c r="K28" s="3" t="s">
        <v>56</v>
      </c>
    </row>
    <row r="29" spans="2:11" ht="12.75">
      <c r="B29" s="66" t="s">
        <v>8</v>
      </c>
      <c r="C29" s="67"/>
      <c r="D29" s="67"/>
      <c r="E29" s="115" t="s">
        <v>11</v>
      </c>
      <c r="F29" s="115"/>
      <c r="G29" s="67"/>
      <c r="H29" s="68">
        <f>C4</f>
        <v>8</v>
      </c>
      <c r="I29" s="69">
        <f>D4</f>
        <v>0</v>
      </c>
      <c r="K29" t="s">
        <v>57</v>
      </c>
    </row>
    <row r="30" spans="2:11" ht="12.75">
      <c r="B30" s="56"/>
      <c r="C30" s="72"/>
      <c r="D30" s="72"/>
      <c r="E30" s="87"/>
      <c r="F30" s="88"/>
      <c r="G30" s="71"/>
      <c r="H30" s="71"/>
      <c r="I30" s="58"/>
      <c r="K30" t="s">
        <v>63</v>
      </c>
    </row>
    <row r="31" spans="2:9" ht="12.75">
      <c r="B31" s="56"/>
      <c r="C31" s="72"/>
      <c r="D31" s="72"/>
      <c r="E31" s="72"/>
      <c r="F31" s="72"/>
      <c r="G31" s="71"/>
      <c r="H31" s="71"/>
      <c r="I31" s="58"/>
    </row>
    <row r="32" spans="2:9" ht="12.75">
      <c r="B32" s="56"/>
      <c r="C32" s="72"/>
      <c r="D32" s="72"/>
      <c r="E32" s="72"/>
      <c r="F32" s="72"/>
      <c r="G32" s="71"/>
      <c r="H32" s="71"/>
      <c r="I32" s="58"/>
    </row>
    <row r="33" spans="2:9" ht="12.75">
      <c r="B33" s="56"/>
      <c r="C33" s="72"/>
      <c r="D33" s="72"/>
      <c r="E33" s="72"/>
      <c r="F33" s="72"/>
      <c r="G33" s="71"/>
      <c r="H33" s="71"/>
      <c r="I33" s="58"/>
    </row>
    <row r="34" spans="2:9" ht="12.75">
      <c r="B34" s="56"/>
      <c r="C34" s="72"/>
      <c r="D34" s="72"/>
      <c r="E34" s="72"/>
      <c r="F34" s="72"/>
      <c r="G34" s="71"/>
      <c r="H34" s="71"/>
      <c r="I34" s="58"/>
    </row>
    <row r="35" spans="2:9" ht="13.5" thickBot="1">
      <c r="B35" s="73"/>
      <c r="C35" s="74"/>
      <c r="D35" s="74"/>
      <c r="E35" s="74"/>
      <c r="F35" s="74"/>
      <c r="G35" s="75"/>
      <c r="H35" s="75"/>
      <c r="I35" s="86"/>
    </row>
    <row r="36" spans="2:9" ht="12.75">
      <c r="B36" s="103">
        <f>($D$8/I4)*0.25</f>
        <v>1</v>
      </c>
      <c r="C36" s="77">
        <f>($D$8/$G4)*0.167</f>
        <v>1.336</v>
      </c>
      <c r="D36" s="78">
        <f>C4/4</f>
        <v>2</v>
      </c>
      <c r="E36" s="105">
        <f>(($D$8/$I4)*0.5)+$B36</f>
        <v>3</v>
      </c>
      <c r="F36" s="79">
        <f>($C4+($D4/12))*0.5</f>
        <v>4</v>
      </c>
      <c r="G36" s="105">
        <f>(($D$8/$I4)*0.5)+$E36</f>
        <v>5</v>
      </c>
      <c r="H36" s="78">
        <f>C4-D36</f>
        <v>6</v>
      </c>
      <c r="I36" s="106">
        <f>(($D$8/$I4)*1.5)+$B36</f>
        <v>7</v>
      </c>
    </row>
    <row r="37" spans="2:9" ht="12.75" customHeight="1" thickBot="1">
      <c r="B37" s="108">
        <f>I4</f>
        <v>282.5</v>
      </c>
      <c r="C37" s="89">
        <f>H4</f>
        <v>211.875</v>
      </c>
      <c r="D37" s="90">
        <f>G4</f>
        <v>141.25</v>
      </c>
      <c r="E37" s="91"/>
      <c r="F37" s="92">
        <f>F4</f>
        <v>70.625</v>
      </c>
      <c r="G37" s="91"/>
      <c r="H37" s="93">
        <f>($D$8/$H4)+$C36</f>
        <v>6.669333333333333</v>
      </c>
      <c r="I37" s="94"/>
    </row>
    <row r="38" spans="2:8" ht="13.5" thickTop="1">
      <c r="B38" s="4"/>
      <c r="E38" s="4"/>
      <c r="H38" s="5"/>
    </row>
  </sheetData>
  <sheetProtection password="E504" sheet="1" objects="1" scenarios="1"/>
  <mergeCells count="9">
    <mergeCell ref="B2:I2"/>
    <mergeCell ref="E11:F11"/>
    <mergeCell ref="E20:F20"/>
    <mergeCell ref="E29:F29"/>
    <mergeCell ref="H10:I10"/>
    <mergeCell ref="B3:E3"/>
    <mergeCell ref="B10:G10"/>
    <mergeCell ref="E8:F8"/>
    <mergeCell ref="G8:I8"/>
  </mergeCells>
  <printOptions horizontalCentered="1" verticalCentered="1"/>
  <pageMargins left="0.2" right="0.2" top="0.2" bottom="0.2" header="0.5" footer="0.5"/>
  <pageSetup horizontalDpi="300" verticalDpi="300" orientation="portrait" scale="105" r:id="rId2"/>
  <headerFooter alignWithMargins="0">
    <oddHeader>&amp;C&amp;",Bold"&amp;24Axial Standing Wave Calculator</oddHeader>
    <oddFooter>&amp;C&amp;D&amp;ROne on One Technical Products, Inc.</oddFooter>
  </headerFooter>
  <drawing r:id="rId1"/>
</worksheet>
</file>

<file path=xl/worksheets/sheet2.xml><?xml version="1.0" encoding="utf-8"?>
<worksheet xmlns="http://schemas.openxmlformats.org/spreadsheetml/2006/main" xmlns:r="http://schemas.openxmlformats.org/officeDocument/2006/relationships">
  <dimension ref="A1:K175"/>
  <sheetViews>
    <sheetView showGridLines="0" showRowColHeaders="0" showOutlineSymbols="0" zoomScale="90" zoomScaleNormal="90" workbookViewId="0" topLeftCell="A1">
      <selection activeCell="G6" sqref="G6"/>
    </sheetView>
  </sheetViews>
  <sheetFormatPr defaultColWidth="9.140625" defaultRowHeight="12.75"/>
  <cols>
    <col min="5" max="5" width="10.8515625" style="0" customWidth="1"/>
  </cols>
  <sheetData>
    <row r="1" ht="15.75">
      <c r="G1" s="18" t="s">
        <v>34</v>
      </c>
    </row>
    <row r="2" ht="12.75">
      <c r="G2" s="6" t="s">
        <v>35</v>
      </c>
    </row>
    <row r="4" spans="1:10" ht="12.75">
      <c r="A4" s="19"/>
      <c r="B4" s="19"/>
      <c r="E4" s="20" t="s">
        <v>36</v>
      </c>
      <c r="F4" s="21" t="s">
        <v>37</v>
      </c>
      <c r="G4" s="21" t="s">
        <v>38</v>
      </c>
      <c r="H4" s="22" t="s">
        <v>39</v>
      </c>
      <c r="I4" s="23" t="s">
        <v>40</v>
      </c>
      <c r="J4" s="24" t="s">
        <v>41</v>
      </c>
    </row>
    <row r="5" spans="1:10" ht="12.75">
      <c r="A5" s="25"/>
      <c r="B5" s="26"/>
      <c r="D5" s="27"/>
      <c r="E5" s="28" t="s">
        <v>43</v>
      </c>
      <c r="F5" s="29">
        <f>2.54*(F7+F6*12)/100</f>
        <v>7.3152</v>
      </c>
      <c r="G5" s="29">
        <f>2.54*(G7+G6*12)/100</f>
        <v>6.146800000000001</v>
      </c>
      <c r="H5" s="29">
        <f>2.54*(H7+H6*12)/100</f>
        <v>2.4384</v>
      </c>
      <c r="I5" s="30" t="s">
        <v>44</v>
      </c>
      <c r="J5" s="30" t="s">
        <v>44</v>
      </c>
    </row>
    <row r="6" spans="1:10" ht="12.75">
      <c r="A6" s="25"/>
      <c r="B6" s="31"/>
      <c r="E6" s="32" t="s">
        <v>42</v>
      </c>
      <c r="F6" s="33">
        <f>WAVES!C7</f>
        <v>24</v>
      </c>
      <c r="G6" s="33">
        <f>WAVES!C6</f>
        <v>20</v>
      </c>
      <c r="H6" s="34">
        <f>WAVES!C4</f>
        <v>8</v>
      </c>
      <c r="I6" s="32" t="s">
        <v>43</v>
      </c>
      <c r="J6" s="32" t="s">
        <v>42</v>
      </c>
    </row>
    <row r="7" spans="1:10" ht="12.75">
      <c r="A7" s="25"/>
      <c r="B7" s="35"/>
      <c r="E7" s="36" t="s">
        <v>45</v>
      </c>
      <c r="F7" s="37">
        <f>WAVES!D7</f>
        <v>0</v>
      </c>
      <c r="G7" s="37">
        <f>WAVES!D6</f>
        <v>2</v>
      </c>
      <c r="H7" s="37">
        <f>WAVES!D4</f>
        <v>0</v>
      </c>
      <c r="I7" s="38">
        <f>F5*G5*H5</f>
        <v>109.64283000422401</v>
      </c>
      <c r="J7" s="38">
        <f>I7*35.31466672</f>
        <v>3871.999999836787</v>
      </c>
    </row>
    <row r="8" spans="5:10" ht="12.75">
      <c r="E8" s="39"/>
      <c r="F8" s="33"/>
      <c r="G8" s="33"/>
      <c r="H8" s="33"/>
      <c r="I8" s="40"/>
      <c r="J8" s="41"/>
    </row>
    <row r="9" spans="5:11" ht="12.75">
      <c r="E9" s="39"/>
      <c r="F9" s="39"/>
      <c r="G9" s="33"/>
      <c r="H9" s="33"/>
      <c r="I9" s="33"/>
      <c r="J9" s="40"/>
      <c r="K9" s="41"/>
    </row>
    <row r="10" spans="1:11" ht="12.75" customHeight="1">
      <c r="A10" s="1" t="s">
        <v>46</v>
      </c>
      <c r="E10" s="39"/>
      <c r="F10" s="39"/>
      <c r="G10" s="33"/>
      <c r="H10" s="33"/>
      <c r="I10" s="33"/>
      <c r="J10" s="40"/>
      <c r="K10" s="41"/>
    </row>
    <row r="11" spans="1:11" ht="12.75" customHeight="1">
      <c r="A11" s="1"/>
      <c r="E11" s="39"/>
      <c r="F11" s="39"/>
      <c r="G11" s="33"/>
      <c r="H11" s="33"/>
      <c r="I11" s="33"/>
      <c r="J11" s="40"/>
      <c r="K11" s="41"/>
    </row>
    <row r="12" spans="1:11" ht="12.75" customHeight="1">
      <c r="A12" s="1" t="s">
        <v>47</v>
      </c>
      <c r="E12" s="39"/>
      <c r="F12" s="39"/>
      <c r="G12" s="33"/>
      <c r="H12" s="33"/>
      <c r="I12" s="33"/>
      <c r="J12" s="40"/>
      <c r="K12" s="41"/>
    </row>
    <row r="13" spans="1:11" ht="12.75" customHeight="1">
      <c r="A13" s="1"/>
      <c r="E13" s="39"/>
      <c r="F13" s="39"/>
      <c r="G13" s="33"/>
      <c r="H13" s="33"/>
      <c r="I13" s="33"/>
      <c r="J13" s="40"/>
      <c r="K13" s="41"/>
    </row>
    <row r="14" spans="1:11" ht="12.75" customHeight="1">
      <c r="A14" s="1" t="s">
        <v>48</v>
      </c>
      <c r="E14" s="39"/>
      <c r="F14" s="39"/>
      <c r="G14" s="33"/>
      <c r="H14" s="33"/>
      <c r="I14" s="33"/>
      <c r="J14" s="40"/>
      <c r="K14" s="41"/>
    </row>
    <row r="15" spans="1:11" ht="12.75" customHeight="1">
      <c r="A15" s="1"/>
      <c r="E15" s="39"/>
      <c r="F15" s="39"/>
      <c r="G15" s="33"/>
      <c r="H15" s="33"/>
      <c r="I15" s="33"/>
      <c r="J15" s="40"/>
      <c r="K15" s="41"/>
    </row>
    <row r="16" spans="1:11" ht="12.75" customHeight="1">
      <c r="A16" s="1" t="s">
        <v>49</v>
      </c>
      <c r="E16" s="39"/>
      <c r="F16" s="39"/>
      <c r="G16" s="33"/>
      <c r="H16" s="33"/>
      <c r="I16" s="33"/>
      <c r="J16" s="40"/>
      <c r="K16" s="41"/>
    </row>
    <row r="17" spans="1:11" ht="12.75" customHeight="1">
      <c r="A17" s="1"/>
      <c r="E17" s="39"/>
      <c r="F17" s="39"/>
      <c r="G17" s="33"/>
      <c r="H17" s="33"/>
      <c r="I17" s="33"/>
      <c r="J17" s="40"/>
      <c r="K17" s="41"/>
    </row>
    <row r="18" spans="1:11" ht="12.75" customHeight="1">
      <c r="A18" s="1" t="s">
        <v>50</v>
      </c>
      <c r="E18" s="39"/>
      <c r="F18" s="39"/>
      <c r="G18" s="33"/>
      <c r="H18" s="33"/>
      <c r="I18" s="33"/>
      <c r="J18" s="40"/>
      <c r="K18" s="41"/>
    </row>
    <row r="19" spans="1:11" ht="12.75" customHeight="1">
      <c r="A19" s="1"/>
      <c r="E19" s="39"/>
      <c r="F19" s="39"/>
      <c r="G19" s="33"/>
      <c r="H19" s="33"/>
      <c r="I19" s="33"/>
      <c r="J19" s="40"/>
      <c r="K19" s="41"/>
    </row>
    <row r="20" spans="1:11" ht="12.75" customHeight="1">
      <c r="A20" s="1" t="s">
        <v>39</v>
      </c>
      <c r="E20" s="39"/>
      <c r="F20" s="39"/>
      <c r="G20" s="33"/>
      <c r="H20" s="33"/>
      <c r="I20" s="33"/>
      <c r="J20" s="40"/>
      <c r="K20" s="41"/>
    </row>
    <row r="21" spans="1:11" ht="12.75" customHeight="1">
      <c r="A21" s="1"/>
      <c r="E21" s="39"/>
      <c r="F21" s="39"/>
      <c r="G21" s="33"/>
      <c r="H21" s="33"/>
      <c r="I21" s="33"/>
      <c r="J21" s="40"/>
      <c r="K21" s="41"/>
    </row>
    <row r="22" spans="1:11" ht="12.75" customHeight="1">
      <c r="A22" s="1" t="s">
        <v>38</v>
      </c>
      <c r="E22" s="39"/>
      <c r="F22" s="39"/>
      <c r="G22" s="33"/>
      <c r="H22" s="33"/>
      <c r="I22" s="33"/>
      <c r="J22" s="40"/>
      <c r="K22" s="41"/>
    </row>
    <row r="23" spans="1:11" ht="12.75" customHeight="1">
      <c r="A23" s="1"/>
      <c r="E23" s="39"/>
      <c r="F23" s="39"/>
      <c r="G23" s="33"/>
      <c r="H23" s="33"/>
      <c r="I23" s="33"/>
      <c r="J23" s="40"/>
      <c r="K23" s="41"/>
    </row>
    <row r="24" spans="1:11" ht="12.75" customHeight="1">
      <c r="A24" s="1" t="s">
        <v>51</v>
      </c>
      <c r="E24" s="39"/>
      <c r="F24" s="39"/>
      <c r="G24" s="33"/>
      <c r="H24" s="33"/>
      <c r="I24" s="33"/>
      <c r="J24" s="40"/>
      <c r="K24" s="41"/>
    </row>
    <row r="25" spans="5:11" ht="12.75">
      <c r="E25" s="39"/>
      <c r="F25" s="39"/>
      <c r="G25" s="33"/>
      <c r="H25" s="33"/>
      <c r="I25" s="33"/>
      <c r="J25" s="40"/>
      <c r="K25" s="41"/>
    </row>
    <row r="26" spans="5:11" ht="12.75">
      <c r="E26" s="39"/>
      <c r="F26" s="39"/>
      <c r="G26" s="33"/>
      <c r="H26" s="33"/>
      <c r="I26" s="33"/>
      <c r="J26" s="40"/>
      <c r="K26" s="41"/>
    </row>
    <row r="27" spans="5:11" ht="12.75">
      <c r="E27" s="39"/>
      <c r="G27" s="42"/>
      <c r="I27" s="33"/>
      <c r="J27" s="40"/>
      <c r="K27" s="41"/>
    </row>
    <row r="28" spans="5:11" ht="12.75">
      <c r="E28" s="39"/>
      <c r="G28" s="42"/>
      <c r="I28" s="33"/>
      <c r="J28" s="40"/>
      <c r="K28" s="41"/>
    </row>
    <row r="29" spans="5:11" ht="12.75">
      <c r="E29" s="39"/>
      <c r="G29" s="42"/>
      <c r="I29" s="33"/>
      <c r="J29" s="40"/>
      <c r="K29" s="41"/>
    </row>
    <row r="30" spans="5:11" ht="12.75">
      <c r="E30" s="39"/>
      <c r="G30" s="42"/>
      <c r="I30" s="33"/>
      <c r="J30" s="40"/>
      <c r="K30" s="41"/>
    </row>
    <row r="31" spans="5:11" ht="12.75">
      <c r="E31" s="39"/>
      <c r="G31" s="42"/>
      <c r="I31" s="33"/>
      <c r="J31" s="40"/>
      <c r="K31" s="41"/>
    </row>
    <row r="32" spans="5:11" ht="12.75">
      <c r="E32" s="39"/>
      <c r="F32" s="39"/>
      <c r="G32" s="33"/>
      <c r="H32" s="33"/>
      <c r="I32" s="33"/>
      <c r="J32" s="40"/>
      <c r="K32" s="41"/>
    </row>
    <row r="33" spans="5:11" ht="12.75">
      <c r="E33" s="39"/>
      <c r="F33" s="39"/>
      <c r="G33" s="33"/>
      <c r="H33" s="33"/>
      <c r="I33" s="33"/>
      <c r="J33" s="40"/>
      <c r="K33" s="41"/>
    </row>
    <row r="34" spans="1:10" ht="12.75">
      <c r="A34">
        <f>172.5/F5</f>
        <v>23.581036745406823</v>
      </c>
      <c r="G34">
        <v>4</v>
      </c>
      <c r="H34">
        <v>6</v>
      </c>
      <c r="I34">
        <v>8</v>
      </c>
      <c r="J34">
        <v>1</v>
      </c>
    </row>
    <row r="35" spans="1:10" ht="12.75">
      <c r="A35">
        <f aca="true" t="shared" si="0" ref="A35:A43">A34+$A$34</f>
        <v>47.16207349081365</v>
      </c>
      <c r="G35">
        <v>4</v>
      </c>
      <c r="H35">
        <v>6</v>
      </c>
      <c r="I35">
        <v>8</v>
      </c>
      <c r="J35">
        <v>1</v>
      </c>
    </row>
    <row r="36" spans="1:10" ht="12.75">
      <c r="A36">
        <f t="shared" si="0"/>
        <v>70.74311023622047</v>
      </c>
      <c r="G36">
        <v>4</v>
      </c>
      <c r="H36">
        <v>6</v>
      </c>
      <c r="I36">
        <v>8</v>
      </c>
      <c r="J36">
        <v>1</v>
      </c>
    </row>
    <row r="37" spans="1:10" ht="12.75">
      <c r="A37">
        <f t="shared" si="0"/>
        <v>94.3241469816273</v>
      </c>
      <c r="G37">
        <v>4</v>
      </c>
      <c r="H37">
        <v>6</v>
      </c>
      <c r="I37">
        <v>8</v>
      </c>
      <c r="J37">
        <v>1</v>
      </c>
    </row>
    <row r="38" spans="1:10" ht="12.75">
      <c r="A38">
        <f t="shared" si="0"/>
        <v>117.90518372703411</v>
      </c>
      <c r="G38">
        <v>4</v>
      </c>
      <c r="H38">
        <v>6</v>
      </c>
      <c r="I38">
        <v>8</v>
      </c>
      <c r="J38">
        <v>1</v>
      </c>
    </row>
    <row r="39" spans="1:10" ht="12.75">
      <c r="A39">
        <f t="shared" si="0"/>
        <v>141.48622047244095</v>
      </c>
      <c r="G39">
        <v>4</v>
      </c>
      <c r="H39">
        <v>6</v>
      </c>
      <c r="I39">
        <v>8</v>
      </c>
      <c r="J39">
        <v>1</v>
      </c>
    </row>
    <row r="40" spans="1:10" ht="12.75">
      <c r="A40">
        <f t="shared" si="0"/>
        <v>165.06725721784778</v>
      </c>
      <c r="G40">
        <v>4</v>
      </c>
      <c r="H40">
        <v>6</v>
      </c>
      <c r="I40">
        <v>8</v>
      </c>
      <c r="J40">
        <v>1</v>
      </c>
    </row>
    <row r="41" spans="1:10" ht="12.75">
      <c r="A41">
        <f t="shared" si="0"/>
        <v>188.64829396325462</v>
      </c>
      <c r="G41">
        <v>4</v>
      </c>
      <c r="H41">
        <v>6</v>
      </c>
      <c r="I41">
        <v>8</v>
      </c>
      <c r="J41">
        <v>1</v>
      </c>
    </row>
    <row r="42" spans="1:10" ht="12.75">
      <c r="A42">
        <f t="shared" si="0"/>
        <v>212.22933070866145</v>
      </c>
      <c r="G42">
        <v>4</v>
      </c>
      <c r="H42">
        <v>6</v>
      </c>
      <c r="I42">
        <v>8</v>
      </c>
      <c r="J42">
        <v>1</v>
      </c>
    </row>
    <row r="43" spans="1:10" ht="12.75">
      <c r="A43">
        <f t="shared" si="0"/>
        <v>235.81036745406828</v>
      </c>
      <c r="G43">
        <v>4</v>
      </c>
      <c r="H43">
        <v>6</v>
      </c>
      <c r="I43">
        <v>8</v>
      </c>
      <c r="J43">
        <v>1</v>
      </c>
    </row>
    <row r="44" spans="1:10" ht="12.75">
      <c r="A44">
        <f>172.5/G5</f>
        <v>28.063382573046134</v>
      </c>
      <c r="G44">
        <v>4</v>
      </c>
      <c r="H44">
        <v>6</v>
      </c>
      <c r="I44">
        <v>8</v>
      </c>
      <c r="J44">
        <v>2</v>
      </c>
    </row>
    <row r="45" spans="1:10" ht="12.75">
      <c r="A45">
        <f aca="true" t="shared" si="1" ref="A45:A53">A44+$A$44</f>
        <v>56.12676514609227</v>
      </c>
      <c r="G45">
        <v>4</v>
      </c>
      <c r="H45">
        <v>6</v>
      </c>
      <c r="I45">
        <v>8</v>
      </c>
      <c r="J45">
        <v>2</v>
      </c>
    </row>
    <row r="46" spans="1:10" ht="12.75">
      <c r="A46">
        <f t="shared" si="1"/>
        <v>84.1901477191384</v>
      </c>
      <c r="G46">
        <v>4</v>
      </c>
      <c r="H46">
        <v>6</v>
      </c>
      <c r="I46">
        <v>8</v>
      </c>
      <c r="J46">
        <v>2</v>
      </c>
    </row>
    <row r="47" spans="1:10" ht="12.75">
      <c r="A47">
        <f t="shared" si="1"/>
        <v>112.25353029218454</v>
      </c>
      <c r="G47">
        <v>4</v>
      </c>
      <c r="H47">
        <v>6</v>
      </c>
      <c r="I47">
        <v>8</v>
      </c>
      <c r="J47">
        <v>2</v>
      </c>
    </row>
    <row r="48" spans="1:10" ht="12.75">
      <c r="A48">
        <f t="shared" si="1"/>
        <v>140.31691286523068</v>
      </c>
      <c r="G48">
        <v>4</v>
      </c>
      <c r="H48">
        <v>6</v>
      </c>
      <c r="I48">
        <v>8</v>
      </c>
      <c r="J48">
        <v>2</v>
      </c>
    </row>
    <row r="49" spans="1:10" ht="12.75">
      <c r="A49">
        <f t="shared" si="1"/>
        <v>168.38029543827682</v>
      </c>
      <c r="G49">
        <v>4</v>
      </c>
      <c r="H49">
        <v>6</v>
      </c>
      <c r="I49">
        <v>8</v>
      </c>
      <c r="J49">
        <v>2</v>
      </c>
    </row>
    <row r="50" spans="1:10" ht="12.75">
      <c r="A50">
        <f t="shared" si="1"/>
        <v>196.44367801132296</v>
      </c>
      <c r="G50">
        <v>4</v>
      </c>
      <c r="H50">
        <v>6</v>
      </c>
      <c r="I50">
        <v>8</v>
      </c>
      <c r="J50">
        <v>2</v>
      </c>
    </row>
    <row r="51" spans="1:10" ht="12.75">
      <c r="A51">
        <f t="shared" si="1"/>
        <v>224.5070605843691</v>
      </c>
      <c r="G51">
        <v>4</v>
      </c>
      <c r="H51">
        <v>6</v>
      </c>
      <c r="I51">
        <v>8</v>
      </c>
      <c r="J51">
        <v>2</v>
      </c>
    </row>
    <row r="52" spans="1:10" ht="12.75">
      <c r="A52">
        <f t="shared" si="1"/>
        <v>252.57044315741524</v>
      </c>
      <c r="G52">
        <v>4</v>
      </c>
      <c r="H52">
        <v>6</v>
      </c>
      <c r="I52">
        <v>8</v>
      </c>
      <c r="J52">
        <v>2</v>
      </c>
    </row>
    <row r="53" spans="1:10" ht="12.75">
      <c r="A53">
        <f t="shared" si="1"/>
        <v>280.63382573046135</v>
      </c>
      <c r="G53">
        <v>4</v>
      </c>
      <c r="H53">
        <v>6</v>
      </c>
      <c r="I53">
        <v>8</v>
      </c>
      <c r="J53">
        <v>2</v>
      </c>
    </row>
    <row r="54" spans="1:10" ht="12.75">
      <c r="A54">
        <f>172.5/H5</f>
        <v>70.74311023622047</v>
      </c>
      <c r="G54">
        <v>4</v>
      </c>
      <c r="H54">
        <v>6</v>
      </c>
      <c r="I54">
        <v>8</v>
      </c>
      <c r="J54">
        <v>3</v>
      </c>
    </row>
    <row r="55" spans="1:10" ht="12.75">
      <c r="A55">
        <f aca="true" t="shared" si="2" ref="A55:A63">A54+$A$54</f>
        <v>141.48622047244095</v>
      </c>
      <c r="G55">
        <v>4</v>
      </c>
      <c r="H55">
        <v>6</v>
      </c>
      <c r="I55">
        <v>8</v>
      </c>
      <c r="J55">
        <v>3</v>
      </c>
    </row>
    <row r="56" spans="1:10" ht="12.75">
      <c r="A56">
        <f t="shared" si="2"/>
        <v>212.22933070866142</v>
      </c>
      <c r="G56">
        <v>4</v>
      </c>
      <c r="H56">
        <v>6</v>
      </c>
      <c r="I56">
        <v>8</v>
      </c>
      <c r="J56">
        <v>3</v>
      </c>
    </row>
    <row r="57" spans="1:10" ht="12.75">
      <c r="A57">
        <f t="shared" si="2"/>
        <v>282.9724409448819</v>
      </c>
      <c r="G57">
        <v>4</v>
      </c>
      <c r="H57">
        <v>6</v>
      </c>
      <c r="I57">
        <v>8</v>
      </c>
      <c r="J57">
        <v>3</v>
      </c>
    </row>
    <row r="58" spans="1:10" ht="12.75">
      <c r="A58">
        <f t="shared" si="2"/>
        <v>353.71555118110234</v>
      </c>
      <c r="G58">
        <v>4</v>
      </c>
      <c r="H58">
        <v>6</v>
      </c>
      <c r="I58">
        <v>8</v>
      </c>
      <c r="J58">
        <v>3</v>
      </c>
    </row>
    <row r="59" spans="1:10" ht="12.75">
      <c r="A59">
        <f t="shared" si="2"/>
        <v>424.4586614173228</v>
      </c>
      <c r="G59">
        <v>4</v>
      </c>
      <c r="H59">
        <v>6</v>
      </c>
      <c r="I59">
        <v>8</v>
      </c>
      <c r="J59">
        <v>3</v>
      </c>
    </row>
    <row r="60" spans="1:10" ht="12.75">
      <c r="A60">
        <f t="shared" si="2"/>
        <v>495.20177165354323</v>
      </c>
      <c r="G60">
        <v>4</v>
      </c>
      <c r="H60">
        <v>6</v>
      </c>
      <c r="I60">
        <v>8</v>
      </c>
      <c r="J60">
        <v>3</v>
      </c>
    </row>
    <row r="61" spans="1:10" ht="12.75">
      <c r="A61">
        <f t="shared" si="2"/>
        <v>565.9448818897637</v>
      </c>
      <c r="G61">
        <v>4</v>
      </c>
      <c r="H61">
        <v>6</v>
      </c>
      <c r="I61">
        <v>8</v>
      </c>
      <c r="J61">
        <v>3</v>
      </c>
    </row>
    <row r="62" spans="1:10" ht="12.75">
      <c r="A62">
        <f t="shared" si="2"/>
        <v>636.6879921259841</v>
      </c>
      <c r="G62">
        <v>4</v>
      </c>
      <c r="H62">
        <v>6</v>
      </c>
      <c r="I62">
        <v>8</v>
      </c>
      <c r="J62">
        <v>3</v>
      </c>
    </row>
    <row r="63" spans="1:10" ht="12.75">
      <c r="A63">
        <f t="shared" si="2"/>
        <v>707.4311023622046</v>
      </c>
      <c r="G63">
        <v>4</v>
      </c>
      <c r="H63">
        <v>6</v>
      </c>
      <c r="I63">
        <v>8</v>
      </c>
      <c r="J63">
        <v>3</v>
      </c>
    </row>
    <row r="64" spans="1:6" ht="12.75">
      <c r="A64">
        <f>172.5*SQRT(0/(F5*F5)+1/(G5*G5)+1/(H5*H5))</f>
        <v>76.10611727933039</v>
      </c>
      <c r="D64">
        <v>6</v>
      </c>
      <c r="E64">
        <v>5</v>
      </c>
      <c r="F64">
        <v>8</v>
      </c>
    </row>
    <row r="65" spans="1:6" ht="12.75">
      <c r="A65">
        <f>172.5*SQRT(0/(F5*F5)+1/(G5*G5)+4/(H5*H5))</f>
        <v>144.2425180902542</v>
      </c>
      <c r="D65">
        <v>6</v>
      </c>
      <c r="E65">
        <v>5</v>
      </c>
      <c r="F65">
        <v>8</v>
      </c>
    </row>
    <row r="66" spans="1:6" ht="12.75">
      <c r="A66">
        <f>172.5*SQRT(0/(F5*F5)+1/(G5*G5)+9/(H5*H5))</f>
        <v>214.076720487043</v>
      </c>
      <c r="D66">
        <v>6</v>
      </c>
      <c r="E66">
        <v>5</v>
      </c>
      <c r="F66">
        <v>8</v>
      </c>
    </row>
    <row r="67" spans="1:6" ht="12.75">
      <c r="A67">
        <f>172.5*SQRT(0/(F5*F5)+1/(G5*G5)+16/(H5*H5))</f>
        <v>284.36060869210735</v>
      </c>
      <c r="D67">
        <v>6</v>
      </c>
      <c r="E67">
        <v>5</v>
      </c>
      <c r="F67">
        <v>8</v>
      </c>
    </row>
    <row r="68" spans="1:6" ht="12.75">
      <c r="A68">
        <f>172.5*SQRT(0/(F5*F5)+4/(G5*G5)+1/(H5*H5))</f>
        <v>90.30393907055571</v>
      </c>
      <c r="D68">
        <v>6</v>
      </c>
      <c r="E68">
        <v>5</v>
      </c>
      <c r="F68">
        <v>8</v>
      </c>
    </row>
    <row r="69" spans="1:6" ht="12.75">
      <c r="A69">
        <f>172.5*SQRT(0/(F5*F5)+4/(G5*G5)+4/(H5*H5))</f>
        <v>152.21223455866078</v>
      </c>
      <c r="D69">
        <v>6</v>
      </c>
      <c r="E69">
        <v>5</v>
      </c>
      <c r="F69">
        <v>8</v>
      </c>
    </row>
    <row r="70" spans="1:6" ht="12.75">
      <c r="A70">
        <f>172.5*SQRT(0/(F5*F5)+4/(G5*G5)+9/(H5*H5))</f>
        <v>219.52563080153297</v>
      </c>
      <c r="D70">
        <v>6</v>
      </c>
      <c r="E70">
        <v>5</v>
      </c>
      <c r="F70">
        <v>8</v>
      </c>
    </row>
    <row r="71" spans="1:6" ht="12.75">
      <c r="A71">
        <f>172.5*SQRT(0/(F5*F5)+4/(G5*G5)+16/(H5*H5))</f>
        <v>288.4850361805084</v>
      </c>
      <c r="D71">
        <v>6</v>
      </c>
      <c r="E71">
        <v>5</v>
      </c>
      <c r="F71">
        <v>8</v>
      </c>
    </row>
    <row r="72" spans="1:6" ht="12.75">
      <c r="A72">
        <f>172.5*SQRT(0/(F5*F5)+9/(G5*G5)+1/(H5*H5))</f>
        <v>109.96621580678489</v>
      </c>
      <c r="D72">
        <v>6</v>
      </c>
      <c r="E72">
        <v>5</v>
      </c>
      <c r="F72">
        <v>8</v>
      </c>
    </row>
    <row r="73" spans="1:6" ht="12.75">
      <c r="A73">
        <f>172.5*SQRT(0/(F5*F5)+9/(G5*G5)+4/(H5*H5))</f>
        <v>164.64000594189284</v>
      </c>
      <c r="D73">
        <v>6</v>
      </c>
      <c r="E73">
        <v>5</v>
      </c>
      <c r="F73">
        <v>8</v>
      </c>
    </row>
    <row r="74" spans="1:6" ht="12.75">
      <c r="A74">
        <f>172.5*SQRT(0/(F5*F5)+9/(G5*G5)+9/(H5*H5))</f>
        <v>228.31835183799114</v>
      </c>
      <c r="D74">
        <v>6</v>
      </c>
      <c r="E74">
        <v>5</v>
      </c>
      <c r="F74">
        <v>8</v>
      </c>
    </row>
    <row r="75" spans="1:6" ht="12.75">
      <c r="A75">
        <f>172.5*SQRT(0/(F5*F5)+9/(G5*G5)+16/(H5*H5))</f>
        <v>295.2310676525677</v>
      </c>
      <c r="D75">
        <v>6</v>
      </c>
      <c r="E75">
        <v>5</v>
      </c>
      <c r="F75">
        <v>8</v>
      </c>
    </row>
    <row r="76" spans="1:6" ht="12.75">
      <c r="A76">
        <f>172.5*SQRT(0/(F5*F5)+16/(G5*G5)+1/(H5*H5))</f>
        <v>132.68550300975775</v>
      </c>
      <c r="D76">
        <v>6</v>
      </c>
      <c r="E76">
        <v>5</v>
      </c>
      <c r="F76">
        <v>8</v>
      </c>
    </row>
    <row r="77" spans="1:6" ht="12.75">
      <c r="A77">
        <f>172.5*SQRT(0/(F5*F5)+16/(G5*G5)+4/(H5*H5))</f>
        <v>180.60787814111143</v>
      </c>
      <c r="D77">
        <v>6</v>
      </c>
      <c r="E77">
        <v>5</v>
      </c>
      <c r="F77">
        <v>8</v>
      </c>
    </row>
    <row r="78" spans="1:6" ht="12.75">
      <c r="A78">
        <f>172.5*SQRT(0/(F5*F5)+16/(G5*G5)+9/(H5*H5))</f>
        <v>240.08778368776862</v>
      </c>
      <c r="D78">
        <v>6</v>
      </c>
      <c r="E78">
        <v>5</v>
      </c>
      <c r="F78">
        <v>8</v>
      </c>
    </row>
    <row r="79" spans="1:6" ht="12.75">
      <c r="A79">
        <f>172.5*SQRT(0/(F5*F5)+16/(G5*G5)+16/(H5*H5))</f>
        <v>304.42446911732156</v>
      </c>
      <c r="D79">
        <v>6</v>
      </c>
      <c r="E79">
        <v>5</v>
      </c>
      <c r="F79">
        <v>8</v>
      </c>
    </row>
    <row r="80" spans="1:6" ht="12.75">
      <c r="A80">
        <f>172.5*SQRT(1/(F5*F5)+0/(G5*G5)+1/(H5*H5))</f>
        <v>74.56978570360967</v>
      </c>
      <c r="D80">
        <v>6</v>
      </c>
      <c r="E80">
        <v>5</v>
      </c>
      <c r="F80">
        <v>8</v>
      </c>
    </row>
    <row r="81" spans="1:6" ht="12.75">
      <c r="A81">
        <f>172.5*SQRT(1/(F5*F5)+0/(G5*G5)+4/(H5*H5))</f>
        <v>143.43784674054612</v>
      </c>
      <c r="D81">
        <v>6</v>
      </c>
      <c r="E81">
        <v>5</v>
      </c>
      <c r="F81">
        <v>8</v>
      </c>
    </row>
    <row r="82" spans="1:6" ht="12.75">
      <c r="A82">
        <f>172.5*SQRT(1/(F5*F5)+0/(G5*G5)+9/(H5*H5))</f>
        <v>213.53536968622927</v>
      </c>
      <c r="D82">
        <v>6</v>
      </c>
      <c r="E82">
        <v>5</v>
      </c>
      <c r="F82">
        <v>8</v>
      </c>
    </row>
    <row r="83" spans="1:6" ht="12.75">
      <c r="A83">
        <f>172.5*SQRT(1/(F5*F5)+0/(G5*G5)+16/(H5*H5))</f>
        <v>283.95328423579275</v>
      </c>
      <c r="D83">
        <v>6</v>
      </c>
      <c r="E83">
        <v>5</v>
      </c>
      <c r="F83">
        <v>8</v>
      </c>
    </row>
    <row r="84" spans="1:6" ht="12.75">
      <c r="A84">
        <f>172.5*SQRT(1/(F5*F5)+1/(G5*G5)+0/(H5*H5))</f>
        <v>36.6554052689283</v>
      </c>
      <c r="D84">
        <v>6</v>
      </c>
      <c r="E84">
        <v>5</v>
      </c>
      <c r="F84">
        <v>8</v>
      </c>
    </row>
    <row r="85" spans="1:6" ht="12.75">
      <c r="A85">
        <f>172.5*SQRT(1/(F5*F5)+4/(G5*G5)+0/(H5*H5))</f>
        <v>60.87921697716573</v>
      </c>
      <c r="D85">
        <v>6</v>
      </c>
      <c r="E85">
        <v>5</v>
      </c>
      <c r="F85">
        <v>8</v>
      </c>
    </row>
    <row r="86" spans="1:6" ht="12.75">
      <c r="A86">
        <f>172.5*SQRT(1/(F5*F5)+9/(G5*G5)+0/(H5*H5))</f>
        <v>87.43023657155784</v>
      </c>
      <c r="D86">
        <v>6</v>
      </c>
      <c r="E86">
        <v>5</v>
      </c>
      <c r="F86">
        <v>8</v>
      </c>
    </row>
    <row r="87" spans="1:6" ht="12.75">
      <c r="A87">
        <f>172.5*SQRT(1/(F5*F5)+16/(G5*G5)+0/(H5*H5))</f>
        <v>114.70361963358707</v>
      </c>
      <c r="D87">
        <v>6</v>
      </c>
      <c r="E87">
        <v>5</v>
      </c>
      <c r="F87">
        <v>8</v>
      </c>
    </row>
    <row r="88" spans="1:6" ht="12.75">
      <c r="A88">
        <f>172.5*SQRT(4/(F5*F5)+0/(G5*G5)+1/(H5*H5))</f>
        <v>85.02263711416477</v>
      </c>
      <c r="D88">
        <v>6</v>
      </c>
      <c r="E88">
        <v>5</v>
      </c>
      <c r="F88">
        <v>8</v>
      </c>
    </row>
    <row r="89" spans="1:6" ht="12.75">
      <c r="A89">
        <f>172.5*SQRT(4/(F5*F5)+0/(G5*G5)+4/(H5*H5))</f>
        <v>149.13957140721934</v>
      </c>
      <c r="D89">
        <v>6</v>
      </c>
      <c r="E89">
        <v>5</v>
      </c>
      <c r="F89">
        <v>8</v>
      </c>
    </row>
    <row r="90" spans="1:6" ht="12.75">
      <c r="A90">
        <f>172.5*SQRT(4/(F5*F5)+0/(G5*G5)+9/(H5*H5))</f>
        <v>217.4064166233354</v>
      </c>
      <c r="D90">
        <v>6</v>
      </c>
      <c r="E90">
        <v>5</v>
      </c>
      <c r="F90">
        <v>8</v>
      </c>
    </row>
    <row r="91" spans="1:6" ht="12.75">
      <c r="A91">
        <f>172.5*SQRT(4/(F5*F5)+0/(G5*G5)+16/(H5*H5))</f>
        <v>286.87569348109224</v>
      </c>
      <c r="D91">
        <v>6</v>
      </c>
      <c r="E91">
        <v>5</v>
      </c>
      <c r="F91">
        <v>8</v>
      </c>
    </row>
    <row r="92" spans="1:6" ht="12.75">
      <c r="A92">
        <f>172.5*SQRT(4/(F5*F5)+1/(G5*G5)+0/(H5*H5))</f>
        <v>54.88000198063095</v>
      </c>
      <c r="D92">
        <v>6</v>
      </c>
      <c r="E92">
        <v>5</v>
      </c>
      <c r="F92">
        <v>8</v>
      </c>
    </row>
    <row r="93" spans="1:6" ht="12.75">
      <c r="A93">
        <f>172.5*SQRT(4/(F5*F5)+4/(G5*G5)+0/(H5*H5))</f>
        <v>73.3108105378566</v>
      </c>
      <c r="D93">
        <v>6</v>
      </c>
      <c r="E93">
        <v>5</v>
      </c>
      <c r="F93">
        <v>8</v>
      </c>
    </row>
    <row r="94" spans="1:6" ht="12.75">
      <c r="A94">
        <f>172.5*SQRT(4/(F5*F5)+9/(G5*G5)+0/(H5*H5))</f>
        <v>96.49995932083728</v>
      </c>
      <c r="D94">
        <v>6</v>
      </c>
      <c r="E94">
        <v>5</v>
      </c>
      <c r="F94">
        <v>8</v>
      </c>
    </row>
    <row r="95" spans="1:6" ht="12.75">
      <c r="A95">
        <f>172.5*SQRT(4/(F5*F5)+16/(G5*G5)+0/(H5*H5))</f>
        <v>121.75843395433147</v>
      </c>
      <c r="D95">
        <v>6</v>
      </c>
      <c r="E95">
        <v>5</v>
      </c>
      <c r="F95">
        <v>8</v>
      </c>
    </row>
    <row r="96" spans="1:6" ht="12.75">
      <c r="A96">
        <f>172.5*SQRT(9/(F5*F5)+0/(G5*G5)+1/(H5*H5))</f>
        <v>100.04586594051791</v>
      </c>
      <c r="D96">
        <v>6</v>
      </c>
      <c r="E96">
        <v>5</v>
      </c>
      <c r="F96">
        <v>8</v>
      </c>
    </row>
    <row r="97" spans="1:6" ht="12.75">
      <c r="A97">
        <f>172.5*SQRT(9/(F5*F5)+0/(G5*G5)+4/(H5*H5))</f>
        <v>158.18640342795018</v>
      </c>
      <c r="D97">
        <v>6</v>
      </c>
      <c r="E97">
        <v>5</v>
      </c>
      <c r="F97">
        <v>8</v>
      </c>
    </row>
    <row r="98" spans="1:6" ht="12.75">
      <c r="A98">
        <f>172.5*SQRT(9/(F5*F5)+0/(G5*G5)+9/(H5*H5))</f>
        <v>223.70935711082902</v>
      </c>
      <c r="D98">
        <v>6</v>
      </c>
      <c r="E98">
        <v>5</v>
      </c>
      <c r="F98">
        <v>8</v>
      </c>
    </row>
    <row r="99" spans="1:6" ht="12.75">
      <c r="A99">
        <f>172.5*SQRT(9/(F5*F5)+0/(G5*G5)+16/(H5*H5))</f>
        <v>291.681315788651</v>
      </c>
      <c r="D99">
        <v>6</v>
      </c>
      <c r="E99">
        <v>5</v>
      </c>
      <c r="F99">
        <v>8</v>
      </c>
    </row>
    <row r="100" spans="1:6" ht="12.75">
      <c r="A100">
        <f>172.5*SQRT(9/(F5*F5)+1/(G5*G5)+0/(H5*H5))</f>
        <v>76.10611727933039</v>
      </c>
      <c r="D100">
        <v>6</v>
      </c>
      <c r="E100">
        <v>5</v>
      </c>
      <c r="F100">
        <v>8</v>
      </c>
    </row>
    <row r="101" spans="1:6" ht="12.75">
      <c r="A101">
        <f>172.5*SQRT(9/(F5*F5)+4/(G5*G5)+0/(H5*H5))</f>
        <v>90.30393907055571</v>
      </c>
      <c r="D101">
        <v>6</v>
      </c>
      <c r="E101">
        <v>5</v>
      </c>
      <c r="F101">
        <v>8</v>
      </c>
    </row>
    <row r="102" spans="1:6" ht="12.75">
      <c r="A102">
        <f>172.5*SQRT(9/(F5*F5)+9/(G5*G5)+0/(H5*H5))</f>
        <v>109.96621580678489</v>
      </c>
      <c r="D102">
        <v>6</v>
      </c>
      <c r="E102">
        <v>5</v>
      </c>
      <c r="F102">
        <v>8</v>
      </c>
    </row>
    <row r="103" spans="1:6" ht="12.75">
      <c r="A103">
        <f>172.5*SQRT(9/(F5*F5)+16/(G5*G5)+0/(H5*H5))</f>
        <v>132.68550300975775</v>
      </c>
      <c r="D103">
        <v>6</v>
      </c>
      <c r="E103">
        <v>5</v>
      </c>
      <c r="F103">
        <v>8</v>
      </c>
    </row>
    <row r="104" spans="1:6" ht="12.75">
      <c r="A104">
        <f>172.5*SQRT(16/(F5*F5)+0/(G5*G5)+1/(H5*H5))</f>
        <v>117.90518372703413</v>
      </c>
      <c r="D104">
        <v>6</v>
      </c>
      <c r="E104">
        <v>5</v>
      </c>
      <c r="F104">
        <v>8</v>
      </c>
    </row>
    <row r="105" spans="1:6" ht="12.75">
      <c r="A105">
        <f>172.5*SQRT(16/(F5*F5)+0/(G5*G5)+4/(H5*H5))</f>
        <v>170.04527422832953</v>
      </c>
      <c r="D105">
        <v>6</v>
      </c>
      <c r="E105">
        <v>5</v>
      </c>
      <c r="F105">
        <v>8</v>
      </c>
    </row>
    <row r="106" spans="1:6" ht="12.75">
      <c r="A106">
        <f>172.5*SQRT(16/(F5*F5)+0/(G5*G5)+9/(H5*H5))</f>
        <v>232.2462777244406</v>
      </c>
      <c r="D106">
        <v>6</v>
      </c>
      <c r="E106">
        <v>5</v>
      </c>
      <c r="F106">
        <v>8</v>
      </c>
    </row>
    <row r="107" spans="1:6" ht="12.75">
      <c r="A107">
        <f>172.5*SQRT(16/(F5*F5)+0/(G5*G5)+16/(H5*H5))</f>
        <v>298.27914281443867</v>
      </c>
      <c r="D107">
        <v>6</v>
      </c>
      <c r="E107">
        <v>5</v>
      </c>
      <c r="F107">
        <v>8</v>
      </c>
    </row>
    <row r="108" spans="1:6" ht="12.75">
      <c r="A108">
        <f>172.5*SQRT(16/(F5*F5)+1/(G5*G5)+0/(H5*H5))</f>
        <v>98.41035588418924</v>
      </c>
      <c r="D108">
        <v>6</v>
      </c>
      <c r="E108">
        <v>5</v>
      </c>
      <c r="F108">
        <v>8</v>
      </c>
    </row>
    <row r="109" spans="1:6" ht="12.75">
      <c r="A109">
        <f>172.5*SQRT(16/(F5*F5)+4/(G5*G5)+0/(H5*H5))</f>
        <v>109.7600039612619</v>
      </c>
      <c r="D109">
        <v>6</v>
      </c>
      <c r="E109">
        <v>5</v>
      </c>
      <c r="F109">
        <v>8</v>
      </c>
    </row>
    <row r="110" spans="1:6" ht="12.75">
      <c r="A110">
        <f>172.5*SQRT(16/(F5*F5)+9/(G5*G5)+0/(H5*H5))</f>
        <v>126.43190134132277</v>
      </c>
      <c r="D110">
        <v>6</v>
      </c>
      <c r="E110">
        <v>5</v>
      </c>
      <c r="F110">
        <v>8</v>
      </c>
    </row>
    <row r="111" spans="1:6" ht="12.75">
      <c r="A111">
        <f>172.5*SQRT(16/(F5*F5)+16/(G5*G5)+0/(H5*H5))</f>
        <v>146.6216210757132</v>
      </c>
      <c r="D111">
        <v>6</v>
      </c>
      <c r="E111">
        <v>5</v>
      </c>
      <c r="F111">
        <v>8</v>
      </c>
    </row>
    <row r="112" spans="1:3" ht="12.75">
      <c r="A112">
        <f>172.5*SQRT(1/(F5*F5)+1/(G5*G5)+1/(H5*H5))</f>
        <v>79.67563229321384</v>
      </c>
      <c r="B112">
        <v>7</v>
      </c>
      <c r="C112">
        <v>8</v>
      </c>
    </row>
    <row r="113" spans="1:3" ht="12.75">
      <c r="A113">
        <f>172.5*SQRT(1/(F5*F5)+1/(G5*G5)+4/(H5*H5))</f>
        <v>146.15734438955008</v>
      </c>
      <c r="B113">
        <v>7</v>
      </c>
      <c r="C113">
        <v>8</v>
      </c>
    </row>
    <row r="114" spans="1:3" ht="12.75">
      <c r="A114">
        <f>172.5*SQRT(1/(F5*F5)+1/(G5*G5)+9/(H5*H5))</f>
        <v>215.37155696255655</v>
      </c>
      <c r="B114">
        <v>7</v>
      </c>
      <c r="C114">
        <v>8</v>
      </c>
    </row>
    <row r="115" spans="1:3" ht="12.75">
      <c r="A115">
        <f>172.5*SQRT(1/(F5*F5)+1/(G5*G5)+16/(H5*H5))</f>
        <v>285.33668020381475</v>
      </c>
      <c r="B115">
        <v>7</v>
      </c>
      <c r="C115">
        <v>8</v>
      </c>
    </row>
    <row r="116" spans="1:3" ht="12.75">
      <c r="A116">
        <f>172.5*SQRT(1/(F5*F5)+4/(G5*G5)+1/(H5*H5))</f>
        <v>93.33202400916238</v>
      </c>
      <c r="B116">
        <v>7</v>
      </c>
      <c r="C116">
        <v>8</v>
      </c>
    </row>
    <row r="117" spans="1:3" ht="12.75">
      <c r="A117">
        <f>172.5*SQRT(1/(F5*F5)+4/(G5*G5)+4/(H5*H5))</f>
        <v>154.02801577417333</v>
      </c>
      <c r="B117">
        <v>7</v>
      </c>
      <c r="C117">
        <v>8</v>
      </c>
    </row>
    <row r="118" spans="1:3" ht="12.75">
      <c r="A118">
        <f>172.5*SQRT(1/(F5*F5)+4/(G5*G5)+9/(H5*H5))</f>
        <v>220.78851390595298</v>
      </c>
      <c r="B118">
        <v>7</v>
      </c>
      <c r="C118">
        <v>8</v>
      </c>
    </row>
    <row r="119" spans="1:3" ht="12.75">
      <c r="A119">
        <f>172.5*SQRT(1/(F5*F5)+4/(G5*G5)+16/(H5*H5))</f>
        <v>289.4471996652541</v>
      </c>
      <c r="B119">
        <v>7</v>
      </c>
      <c r="C119">
        <v>8</v>
      </c>
    </row>
    <row r="120" spans="1:3" ht="12.75">
      <c r="A120">
        <f>172.5*SQRT(1/(F5*F5)+9/(G5*G5)+1/(H5*H5))</f>
        <v>112.46614562992995</v>
      </c>
      <c r="B120">
        <v>7</v>
      </c>
      <c r="C120">
        <v>8</v>
      </c>
    </row>
    <row r="121" spans="1:3" ht="12.75">
      <c r="A121">
        <f>172.5*SQRT(1/(F5*F5)+9/(G5*G5)+4/(H5*H5))</f>
        <v>166.32016369200318</v>
      </c>
      <c r="B121">
        <v>7</v>
      </c>
      <c r="C121">
        <v>8</v>
      </c>
    </row>
    <row r="122" spans="1:3" ht="12.75">
      <c r="A122">
        <f>172.5*SQRT(1/(F5*F5)+9/(G5*G5)+9/(H5*H5))</f>
        <v>229.5328627451959</v>
      </c>
      <c r="B122">
        <v>7</v>
      </c>
      <c r="C122">
        <v>8</v>
      </c>
    </row>
    <row r="123" spans="1:3" ht="12.75">
      <c r="A123">
        <f>172.5*SQRT(1/(F5*F5)+9/(G5*G5)+16/(H5*H5))</f>
        <v>296.1713163040325</v>
      </c>
      <c r="B123">
        <v>7</v>
      </c>
      <c r="C123">
        <v>8</v>
      </c>
    </row>
    <row r="124" spans="1:3" ht="12.75">
      <c r="A124">
        <f>172.5*SQRT(1/(F5*F5)+16/(G5*G5)+1/(H5*H5))</f>
        <v>134.7646392899141</v>
      </c>
      <c r="B124">
        <v>7</v>
      </c>
      <c r="C124">
        <v>8</v>
      </c>
    </row>
    <row r="125" spans="1:3" ht="12.75">
      <c r="A125">
        <f>172.5*SQRT(1/(F5*F5)+16/(G5*G5)+4/(H5*H5))</f>
        <v>182.1407997693619</v>
      </c>
      <c r="B125">
        <v>7</v>
      </c>
      <c r="C125">
        <v>8</v>
      </c>
    </row>
    <row r="126" spans="1:3" ht="12.75">
      <c r="A126">
        <f>172.5*SQRT(1/(F5*F5)+16/(G5*G5)+9/(H5*H5))</f>
        <v>241.24304999334797</v>
      </c>
      <c r="B126">
        <v>7</v>
      </c>
      <c r="C126">
        <v>8</v>
      </c>
    </row>
    <row r="127" spans="1:3" ht="12.75">
      <c r="A127">
        <f>172.5*SQRT(1/(F5*F5)+16/(G5*G5)+16/(H5*H5))</f>
        <v>305.3364090496764</v>
      </c>
      <c r="B127">
        <v>7</v>
      </c>
      <c r="C127">
        <v>8</v>
      </c>
    </row>
    <row r="128" spans="1:3" ht="12.75">
      <c r="A128">
        <f>172.5*SQRT(4/(F5*F5)+1/(G5*G5)+1/(H5*H5))</f>
        <v>89.53436358900474</v>
      </c>
      <c r="B128">
        <v>7</v>
      </c>
      <c r="C128">
        <v>8</v>
      </c>
    </row>
    <row r="129" spans="1:3" ht="12.75">
      <c r="A129">
        <f>172.5*SQRT(4/(F5*F5)+1/(G5*G5)+4/(H5*H5))</f>
        <v>151.75692801638488</v>
      </c>
      <c r="B129">
        <v>7</v>
      </c>
      <c r="C129">
        <v>8</v>
      </c>
    </row>
    <row r="130" spans="1:3" ht="12.75">
      <c r="A130">
        <f>172.5*SQRT(4/(F5*F5)+1/(G5*G5)+9/(H5*H5))</f>
        <v>219.21018094614226</v>
      </c>
      <c r="B130">
        <v>7</v>
      </c>
      <c r="C130">
        <v>8</v>
      </c>
    </row>
    <row r="131" spans="1:3" ht="12.75">
      <c r="A131">
        <f>172.5*SQRT(4/(F5*F5)+1/(G5*G5)+16/(H5*H5))</f>
        <v>288.24506405435415</v>
      </c>
      <c r="B131">
        <v>7</v>
      </c>
      <c r="C131">
        <v>8</v>
      </c>
    </row>
    <row r="132" spans="1:3" ht="12.75">
      <c r="A132">
        <f>172.5*SQRT(4/(F5*F5)+4/(G5*G5)+1/(H5*H5))</f>
        <v>101.87768444370704</v>
      </c>
      <c r="B132">
        <v>7</v>
      </c>
      <c r="C132">
        <v>8</v>
      </c>
    </row>
    <row r="133" spans="1:3" ht="12.75">
      <c r="A133">
        <f>172.5*SQRT(4/(F5*F5)+4/(G5*G5)+4/(H5*H5))</f>
        <v>159.35126458642767</v>
      </c>
      <c r="B133">
        <v>7</v>
      </c>
      <c r="C133">
        <v>8</v>
      </c>
    </row>
    <row r="134" spans="1:3" ht="12.75">
      <c r="A134">
        <f>172.5*SQRT(4/(F5*F5)+4/(G5*G5)+9/(H5*H5))</f>
        <v>224.5345491339003</v>
      </c>
      <c r="B134">
        <v>7</v>
      </c>
      <c r="C134">
        <v>8</v>
      </c>
    </row>
    <row r="135" spans="1:3" ht="12.75">
      <c r="A135">
        <f>172.5*SQRT(4/(F5*F5)+4/(G5*G5)+16/(H5*H5))</f>
        <v>292.31468877910015</v>
      </c>
      <c r="B135">
        <v>7</v>
      </c>
      <c r="C135">
        <v>8</v>
      </c>
    </row>
    <row r="136" spans="1:3" ht="12.75">
      <c r="A136">
        <f>172.5*SQRT(4/(F5*F5)+9/(G5*G5)+1/(H5*H5))</f>
        <v>119.65295564597345</v>
      </c>
      <c r="B136">
        <v>7</v>
      </c>
      <c r="C136">
        <v>8</v>
      </c>
    </row>
    <row r="137" spans="1:3" ht="12.75">
      <c r="A137">
        <f>172.5*SQRT(4/(F5*F5)+9/(G5*G5)+4/(H5*H5))</f>
        <v>171.26176669793938</v>
      </c>
      <c r="B137">
        <v>7</v>
      </c>
      <c r="C137">
        <v>8</v>
      </c>
    </row>
    <row r="138" spans="1:3" ht="12.75">
      <c r="A138">
        <f>172.5*SQRT(4/(F5*F5)+9/(G5*G5)+9/(H5*H5))</f>
        <v>233.13843733277793</v>
      </c>
      <c r="B138">
        <v>7</v>
      </c>
      <c r="C138">
        <v>8</v>
      </c>
    </row>
    <row r="139" spans="1:3" ht="12.75">
      <c r="A139">
        <f>172.5*SQRT(4/(F5*F5)+9/(G5*G5)+16/(H5*H5))</f>
        <v>298.97432077559426</v>
      </c>
      <c r="B139">
        <v>7</v>
      </c>
      <c r="C139">
        <v>8</v>
      </c>
    </row>
    <row r="140" spans="1:3" ht="12.75">
      <c r="A140">
        <f>172.5*SQRT(4/(F5*F5)+16/(G5*G5)+1/(H5*H5))</f>
        <v>140.81798139763734</v>
      </c>
      <c r="B140">
        <v>7</v>
      </c>
      <c r="C140">
        <v>8</v>
      </c>
    </row>
    <row r="141" spans="1:3" ht="12.75">
      <c r="A141">
        <f>172.5*SQRT(4/(F5*F5)+16/(G5*G5)+4/(H5*H5))</f>
        <v>186.66404801832476</v>
      </c>
      <c r="B141">
        <v>7</v>
      </c>
      <c r="C141">
        <v>8</v>
      </c>
    </row>
    <row r="142" spans="1:3" ht="12.75">
      <c r="A142">
        <f>172.5*SQRT(4/(F5*F5)+16/(G5*G5)+9/(H5*H5))</f>
        <v>244.67612276652102</v>
      </c>
      <c r="B142">
        <v>7</v>
      </c>
      <c r="C142">
        <v>8</v>
      </c>
    </row>
    <row r="143" spans="1:3" ht="12.75">
      <c r="A143">
        <f>172.5*SQRT(4/(F5*F5)+16/(G5*G5)+16/(H5*H5))</f>
        <v>308.05603154834665</v>
      </c>
      <c r="B143">
        <v>7</v>
      </c>
      <c r="C143">
        <v>8</v>
      </c>
    </row>
    <row r="144" spans="1:3" ht="12.75">
      <c r="A144">
        <f>172.5*SQRT(9/(F5*F5)+1/(G5*G5)+1/(H5*H5))</f>
        <v>103.90730837255498</v>
      </c>
      <c r="B144">
        <v>7</v>
      </c>
      <c r="C144">
        <v>8</v>
      </c>
    </row>
    <row r="145" spans="1:3" ht="12.75">
      <c r="A145">
        <f>172.5*SQRT(9/(F5*F5)+1/(G5*G5)+4/(H5*H5))</f>
        <v>160.65643986753648</v>
      </c>
      <c r="B145">
        <v>7</v>
      </c>
      <c r="C145">
        <v>8</v>
      </c>
    </row>
    <row r="146" spans="1:3" ht="12.75">
      <c r="A146">
        <f>172.5*SQRT(9/(F5*F5)+1/(G5*G5)+9/(H5*H5))</f>
        <v>225.46270179429138</v>
      </c>
      <c r="B146">
        <v>7</v>
      </c>
      <c r="C146">
        <v>8</v>
      </c>
    </row>
    <row r="147" spans="1:3" ht="12.75">
      <c r="A147">
        <f>172.5*SQRT(9/(F5*F5)+1/(G5*G5)+16/(H5*H5))</f>
        <v>293.0282297350204</v>
      </c>
      <c r="B147">
        <v>7</v>
      </c>
      <c r="C147">
        <v>8</v>
      </c>
    </row>
    <row r="148" spans="1:3" ht="12.75">
      <c r="A148">
        <f>172.5*SQRT(9/(F5*F5)+4/(G5*G5)+1/(H5*H5))</f>
        <v>114.71438034332347</v>
      </c>
      <c r="B148">
        <v>7</v>
      </c>
      <c r="C148">
        <v>8</v>
      </c>
    </row>
    <row r="149" spans="1:3" ht="12.75">
      <c r="A149">
        <f>172.5*SQRT(9/(F5*F5)+4/(G5*G5)+4/(H5*H5))</f>
        <v>167.84859843095148</v>
      </c>
      <c r="B149">
        <v>7</v>
      </c>
      <c r="C149">
        <v>8</v>
      </c>
    </row>
    <row r="150" spans="1:3" ht="12.75">
      <c r="A150">
        <f>172.5*SQRT(9/(F5*F5)+4/(G5*G5)+9/(H5*H5))</f>
        <v>230.64277622484735</v>
      </c>
      <c r="B150">
        <v>7</v>
      </c>
      <c r="C150">
        <v>8</v>
      </c>
    </row>
    <row r="151" spans="1:3" ht="12.75">
      <c r="A151">
        <f>172.5*SQRT(9/(F5*F5)+4/(G5*G5)+16/(H5*H5))</f>
        <v>297.03232777925587</v>
      </c>
      <c r="B151">
        <v>7</v>
      </c>
      <c r="C151">
        <v>8</v>
      </c>
    </row>
    <row r="152" spans="1:3" ht="12.75">
      <c r="A152">
        <f>172.5*SQRT(9/(F5*F5)+9/(G5*G5)+1/(H5*H5))</f>
        <v>130.7560945606683</v>
      </c>
      <c r="B152">
        <v>7</v>
      </c>
      <c r="C152">
        <v>8</v>
      </c>
    </row>
    <row r="153" spans="1:3" ht="12.75">
      <c r="A153">
        <f>172.5*SQRT(9/(F5*F5)+9/(G5*G5)+4/(H5*H5))</f>
        <v>179.19519860320074</v>
      </c>
      <c r="B153">
        <v>7</v>
      </c>
      <c r="C153">
        <v>8</v>
      </c>
    </row>
    <row r="154" spans="1:3" ht="12.75">
      <c r="A154">
        <f>172.5*SQRT(9/(F5*F5)+9/(G5*G5)+9/(H5*H5))</f>
        <v>239.02689687964147</v>
      </c>
      <c r="B154">
        <v>7</v>
      </c>
      <c r="C154">
        <v>8</v>
      </c>
    </row>
    <row r="155" spans="1:3" ht="12.75">
      <c r="A155">
        <f>172.5*SQRT(9/(F5*F5)+9/(G5*G5)+16/(H5*H5))</f>
        <v>303.5884894938691</v>
      </c>
      <c r="B155">
        <v>7</v>
      </c>
      <c r="C155">
        <v>8</v>
      </c>
    </row>
    <row r="156" spans="1:3" ht="12.75">
      <c r="A156">
        <f>172.5*SQRT(9/(F5*F5)+16/(G5*G5)+1/(H5*H5))</f>
        <v>150.36632054701104</v>
      </c>
      <c r="B156">
        <v>7</v>
      </c>
      <c r="C156">
        <v>8</v>
      </c>
    </row>
    <row r="157" spans="1:3" ht="12.75">
      <c r="A157">
        <f>172.5*SQRT(9/(F5*F5)+16/(G5*G5)+4/(H5*H5))</f>
        <v>193.96853686237</v>
      </c>
      <c r="B157">
        <v>7</v>
      </c>
      <c r="C157">
        <v>8</v>
      </c>
    </row>
    <row r="158" spans="1:3" ht="12.75">
      <c r="A158">
        <f>172.5*SQRT(9/(F5*F5)+16/(G5*G5)+9/(H5*H5))</f>
        <v>250.29329100477065</v>
      </c>
      <c r="B158">
        <v>7</v>
      </c>
      <c r="C158">
        <v>8</v>
      </c>
    </row>
    <row r="159" spans="1:3" ht="12.75">
      <c r="A159">
        <f>172.5*SQRT(9/(F5*F5)+16/(G5*G5)+16/(H5*H5))</f>
        <v>312.5361499782979</v>
      </c>
      <c r="B159">
        <v>7</v>
      </c>
      <c r="C159">
        <v>8</v>
      </c>
    </row>
    <row r="160" spans="1:3" ht="12.75">
      <c r="A160">
        <f>172.5*SQRT(16/(F5*F5)+1/(G5*G5)+1/(H5*H5))</f>
        <v>121.1989512790718</v>
      </c>
      <c r="B160">
        <v>7</v>
      </c>
      <c r="C160">
        <v>8</v>
      </c>
    </row>
    <row r="161" spans="1:3" ht="12.75">
      <c r="A161">
        <f>172.5*SQRT(16/(F5*F5)+1/(G5*G5)+4/(H5*H5))</f>
        <v>172.34543431384813</v>
      </c>
      <c r="B161">
        <v>7</v>
      </c>
      <c r="C161">
        <v>8</v>
      </c>
    </row>
    <row r="162" spans="1:3" ht="12.75">
      <c r="A162">
        <f>172.5*SQRT(16/(F5*F5)+1/(G5*G5)+9/(H5*H5))</f>
        <v>233.9356470448639</v>
      </c>
      <c r="B162">
        <v>7</v>
      </c>
      <c r="C162">
        <v>8</v>
      </c>
    </row>
    <row r="163" spans="1:3" ht="12.75">
      <c r="A163">
        <f>172.5*SQRT(16/(F5*F5)+1/(G5*G5)+16/(H5*H5))</f>
        <v>299.59639597224367</v>
      </c>
      <c r="B163">
        <v>7</v>
      </c>
      <c r="C163">
        <v>8</v>
      </c>
    </row>
    <row r="164" spans="1:3" ht="12.75">
      <c r="A164">
        <f>172.5*SQRT(16/(F5*F5)+4/(G5*G5)+1/(H5*H5))</f>
        <v>130.58271752215248</v>
      </c>
      <c r="B164">
        <v>7</v>
      </c>
      <c r="C164">
        <v>8</v>
      </c>
    </row>
    <row r="165" spans="1:3" ht="12.75">
      <c r="A165">
        <f>172.5*SQRT(16/(F5*F5)+4/(G5*G5)+4/(H5*H5))</f>
        <v>179.06872717800948</v>
      </c>
      <c r="B165">
        <v>7</v>
      </c>
      <c r="C165">
        <v>8</v>
      </c>
    </row>
    <row r="166" spans="1:3" ht="12.75">
      <c r="A166">
        <f>172.5*SQRT(16/(F5*F5)+4/(G5*G5)+9/(H5*H5))</f>
        <v>238.93209763994165</v>
      </c>
      <c r="B166">
        <v>7</v>
      </c>
      <c r="C166">
        <v>8</v>
      </c>
    </row>
    <row r="167" spans="1:3" ht="12.75">
      <c r="A167">
        <f>172.5*SQRT(16/(F5*F5)+4/(G5*G5)+16/(H5*H5))</f>
        <v>303.51385603276975</v>
      </c>
      <c r="B167">
        <v>7</v>
      </c>
      <c r="C167">
        <v>8</v>
      </c>
    </row>
    <row r="168" spans="1:3" ht="12.75">
      <c r="A168">
        <f>172.5*SQRT(16/(F5*F5)+9/(G5*G5)+1/(H5*H5))</f>
        <v>144.87792558797912</v>
      </c>
      <c r="B168">
        <v>7</v>
      </c>
      <c r="C168">
        <v>8</v>
      </c>
    </row>
    <row r="169" spans="1:3" ht="12.75">
      <c r="A169">
        <f>172.5*SQRT(16/(F5*F5)+9/(G5*G5)+4/(H5*H5))</f>
        <v>189.74555662876045</v>
      </c>
      <c r="B169">
        <v>7</v>
      </c>
      <c r="C169">
        <v>8</v>
      </c>
    </row>
    <row r="170" spans="1:3" ht="12.75">
      <c r="A170">
        <f>172.5*SQRT(16/(F5*F5)+9/(G5*G5)+9/(H5*H5))</f>
        <v>247.03504708811732</v>
      </c>
      <c r="B170">
        <v>7</v>
      </c>
      <c r="C170">
        <v>8</v>
      </c>
    </row>
    <row r="171" spans="1:3" ht="12.75">
      <c r="A171">
        <f>172.5*SQRT(16/(F5*F5)+9/(G5*G5)+16/(H5*H5))</f>
        <v>309.9329411519315</v>
      </c>
      <c r="B171">
        <v>7</v>
      </c>
      <c r="C171">
        <v>8</v>
      </c>
    </row>
    <row r="172" spans="1:3" ht="12.75">
      <c r="A172">
        <f>172.5*SQRT(16/(F5*F5)+16/(G5*G5)+1/(H5*H5))</f>
        <v>162.79584580929594</v>
      </c>
      <c r="B172">
        <v>7</v>
      </c>
      <c r="C172">
        <v>8</v>
      </c>
    </row>
    <row r="173" spans="1:3" ht="12.75">
      <c r="A173">
        <f>172.5*SQRT(16/(F5*F5)+16/(G5*G5)+4/(H5*H5))</f>
        <v>203.75536888741408</v>
      </c>
      <c r="B173">
        <v>7</v>
      </c>
      <c r="C173">
        <v>8</v>
      </c>
    </row>
    <row r="174" spans="1:3" ht="12.75">
      <c r="A174">
        <f>172.5*SQRT(16/(F5*F5)+16/(G5*G5)+9/(H5*H5))</f>
        <v>257.95191137093053</v>
      </c>
      <c r="B174">
        <v>7</v>
      </c>
      <c r="C174">
        <v>8</v>
      </c>
    </row>
    <row r="175" spans="1:3" ht="12.75">
      <c r="A175">
        <f>172.5*SQRT(16/(F5*F5)+16/(G5*G5)+16/(H5*H5))</f>
        <v>318.70252917285535</v>
      </c>
      <c r="B175">
        <v>7</v>
      </c>
      <c r="C175">
        <v>8</v>
      </c>
    </row>
  </sheetData>
  <sheetProtection password="E504" sheet="1" objects="1" scenarios="1"/>
  <printOptions horizontalCentered="1"/>
  <pageMargins left="0.75" right="0.75" top="1" bottom="1" header="0.5" footer="0.5"/>
  <pageSetup horizontalDpi="300" verticalDpi="300" orientation="landscape" r:id="rId2"/>
  <headerFooter alignWithMargins="0">
    <oddFooter>&amp;C&amp;D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Room Mode Calculator By Dan Siefert and Allan Devantier, Harman International Industries, Inc.</dc:title>
  <dc:subject/>
  <dc:creator/>
  <cp:keywords/>
  <dc:description/>
  <cp:lastModifiedBy>FToole</cp:lastModifiedBy>
  <cp:lastPrinted>1999-11-09T02:11:50Z</cp:lastPrinted>
  <dcterms:created xsi:type="dcterms:W3CDTF">1998-09-17T15:01:04Z</dcterms:created>
  <dcterms:modified xsi:type="dcterms:W3CDTF">2002-01-31T19:05:59Z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cation Da">
    <vt:lpwstr>2009-08-17T00:00:00Z</vt:lpwstr>
  </property>
  <property fmtid="{D5CDD505-2E9C-101B-9397-08002B2CF9AE}" pid="4" name="Technology LeaderShip Catego">
    <vt:lpwstr>Calculators</vt:lpwstr>
  </property>
  <property fmtid="{D5CDD505-2E9C-101B-9397-08002B2CF9AE}" pid="5" name="ContentTy">
    <vt:lpwstr>Document</vt:lpwstr>
  </property>
  <property fmtid="{D5CDD505-2E9C-101B-9397-08002B2CF9AE}" pid="6" name="IsVisibl">
    <vt:lpwstr>1</vt:lpwstr>
  </property>
  <property fmtid="{D5CDD505-2E9C-101B-9397-08002B2CF9AE}" pid="7" name="Item Ord">
    <vt:lpwstr>2</vt:lpwstr>
  </property>
  <property fmtid="{D5CDD505-2E9C-101B-9397-08002B2CF9AE}" pid="8" name="Short Descripti">
    <vt:lpwstr>This is a Microsoft® Excel® program for the PC that calculates the resonance frequencies for rectangular rooms, and which shows graphically the sound pressure distributions along the major axes of the room. To use it, type your room dimensions into the WA</vt:lpwstr>
  </property>
  <property fmtid="{D5CDD505-2E9C-101B-9397-08002B2CF9AE}" pid="9" name="xd_Signatu">
    <vt:lpwstr/>
  </property>
  <property fmtid="{D5CDD505-2E9C-101B-9397-08002B2CF9AE}" pid="10" name="TemplateU">
    <vt:lpwstr/>
  </property>
  <property fmtid="{D5CDD505-2E9C-101B-9397-08002B2CF9AE}" pid="11" name="xd_Prog">
    <vt:lpwstr/>
  </property>
  <property fmtid="{D5CDD505-2E9C-101B-9397-08002B2CF9AE}" pid="12" name="PublishingStartDa">
    <vt:lpwstr/>
  </property>
  <property fmtid="{D5CDD505-2E9C-101B-9397-08002B2CF9AE}" pid="13" name="PublishingExpirationDa">
    <vt:lpwstr/>
  </property>
  <property fmtid="{D5CDD505-2E9C-101B-9397-08002B2CF9AE}" pid="14" name="_SourceU">
    <vt:lpwstr/>
  </property>
  <property fmtid="{D5CDD505-2E9C-101B-9397-08002B2CF9AE}" pid="15" name="_SharedFileInd">
    <vt:lpwstr/>
  </property>
  <property fmtid="{D5CDD505-2E9C-101B-9397-08002B2CF9AE}" pid="16" name="display_urn:schemas-microsoft-com:office:office#Edit">
    <vt:lpwstr>Trusakova, Tatyana</vt:lpwstr>
  </property>
  <property fmtid="{D5CDD505-2E9C-101B-9397-08002B2CF9AE}" pid="17" name="display_urn:schemas-microsoft-com:office:office#Auth">
    <vt:lpwstr>Trusakova, Tatyana</vt:lpwstr>
  </property>
  <property fmtid="{D5CDD505-2E9C-101B-9397-08002B2CF9AE}" pid="18" name="display_u">
    <vt:lpwstr>System Account</vt:lpwstr>
  </property>
  <property fmtid="{D5CDD505-2E9C-101B-9397-08002B2CF9AE}" pid="19" name="Ord">
    <vt:lpwstr>1100.00000000000</vt:lpwstr>
  </property>
</Properties>
</file>